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6.104.155\общая все территории\Госдоклад_2022\Госдоклад Волчанск 2022\"/>
    </mc:Choice>
  </mc:AlternateContent>
  <bookViews>
    <workbookView xWindow="0" yWindow="0" windowWidth="17715" windowHeight="11730" firstSheet="5" activeTab="8"/>
  </bookViews>
  <sheets>
    <sheet name="Табл.2.1.1.Волчанск" sheetId="2" r:id="rId1"/>
    <sheet name="Табл.2.1.2." sheetId="1" r:id="rId2"/>
    <sheet name="Лист2.1.3." sheetId="3" r:id="rId3"/>
    <sheet name="Лист2.1.4." sheetId="4" r:id="rId4"/>
    <sheet name="Лист2.1.5." sheetId="6" r:id="rId5"/>
    <sheet name="Лист2.1.6." sheetId="5" r:id="rId6"/>
    <sheet name="Лист2.1.7." sheetId="8" r:id="rId7"/>
    <sheet name="Лист 2.1.8." sheetId="9" r:id="rId8"/>
    <sheet name="Лист 2.2.1." sheetId="11" r:id="rId9"/>
    <sheet name="Лист2.2.2." sheetId="12" r:id="rId10"/>
    <sheet name="Лист2.3.1." sheetId="14" r:id="rId11"/>
    <sheet name="Лист2.3.2." sheetId="15" r:id="rId12"/>
    <sheet name="Лист2.3.5." sheetId="13" r:id="rId13"/>
    <sheet name="Лист2.4.12." sheetId="18" r:id="rId14"/>
    <sheet name="Лист2.5.1." sheetId="19" r:id="rId15"/>
    <sheet name="Лист2.7.1." sheetId="24" r:id="rId16"/>
    <sheet name="Лист2.7.3." sheetId="26" r:id="rId17"/>
    <sheet name="Лист2.7.4." sheetId="27" r:id="rId18"/>
    <sheet name="Лист2.7.5." sheetId="28" r:id="rId19"/>
    <sheet name="Лист2.8.1." sheetId="21" r:id="rId20"/>
    <sheet name="Лист2.8.2." sheetId="22" r:id="rId21"/>
    <sheet name="Лист2.8.3." sheetId="23" r:id="rId22"/>
    <sheet name="Лист2.9.1." sheetId="33" r:id="rId23"/>
    <sheet name="Лист2.9.2." sheetId="34" r:id="rId24"/>
    <sheet name="Лист2.9.3." sheetId="35" r:id="rId25"/>
    <sheet name="Лист2.9.4." sheetId="36" r:id="rId26"/>
    <sheet name="Лист2.11.1." sheetId="20" r:id="rId27"/>
  </sheets>
  <definedNames>
    <definedName name="_xlnm._FilterDatabase" localSheetId="12" hidden="1">Лист2.3.5.!$A$5:$Q$27</definedName>
    <definedName name="_xlnm._FilterDatabase" localSheetId="13" hidden="1">Лист2.4.12.!$A$4:$Q$23</definedName>
    <definedName name="_xlnm.Print_Area" localSheetId="8">'Лист 2.2.1.'!$A$1:$T$27</definedName>
    <definedName name="_xlnm.Print_Area" localSheetId="3">Лист2.1.4.!$A$1:$O$11</definedName>
    <definedName name="_xlnm.Print_Area" localSheetId="5">Лист2.1.6.!$A$1:$T$11</definedName>
    <definedName name="_xlnm.Print_Area" localSheetId="26">Лист2.11.1.!$A$1:$O$13</definedName>
    <definedName name="_xlnm.Print_Area" localSheetId="9">Лист2.2.2.!$A$1:$T$31</definedName>
    <definedName name="_xlnm.Print_Area" localSheetId="11">Лист2.3.2.!$A$1:$M$16</definedName>
    <definedName name="_xlnm.Print_Area" localSheetId="12">Лист2.3.5.!$A$1:$Q$27</definedName>
    <definedName name="_xlnm.Print_Area" localSheetId="13">Лист2.4.12.!$A$1:$Q$23</definedName>
    <definedName name="_xlnm.Print_Area" localSheetId="14">Лист2.5.1.!$A$1:$Q$23</definedName>
    <definedName name="_xlnm.Print_Area" localSheetId="16">Лист2.7.3.!$A$1:$T$31</definedName>
    <definedName name="_xlnm.Print_Area" localSheetId="19">Лист2.8.1.!$A$1:$T$12</definedName>
    <definedName name="_xlnm.Print_Area" localSheetId="20">Лист2.8.2.!$A$1:$T$16</definedName>
    <definedName name="_xlnm.Print_Area" localSheetId="23">Лист2.9.2.!$A$1:$Q$14</definedName>
    <definedName name="_xlnm.Print_Area" localSheetId="24">Лист2.9.3.!$A$1:$Q$12</definedName>
    <definedName name="_xlnm.Print_Area" localSheetId="25">Лист2.9.4.!$A$1:$Q$12</definedName>
  </definedNames>
  <calcPr calcId="152511"/>
</workbook>
</file>

<file path=xl/calcChain.xml><?xml version="1.0" encoding="utf-8"?>
<calcChain xmlns="http://schemas.openxmlformats.org/spreadsheetml/2006/main">
  <c r="G6" i="13" l="1"/>
  <c r="G8" i="13"/>
  <c r="G9" i="13"/>
  <c r="G10" i="13"/>
  <c r="G11" i="13"/>
  <c r="G12" i="13"/>
  <c r="G13" i="13"/>
  <c r="G14" i="13"/>
  <c r="G15" i="13"/>
  <c r="G16" i="13"/>
  <c r="G17" i="13"/>
  <c r="G18" i="13"/>
  <c r="G19" i="13"/>
  <c r="G21" i="13"/>
  <c r="G22" i="13"/>
  <c r="G5" i="13"/>
  <c r="J8" i="15" l="1"/>
  <c r="J9" i="15"/>
  <c r="J10" i="15"/>
  <c r="J11" i="15"/>
  <c r="J12" i="15"/>
  <c r="J13" i="15"/>
  <c r="J14" i="15"/>
  <c r="J15" i="15"/>
  <c r="J16" i="15"/>
  <c r="J7" i="15"/>
  <c r="N8" i="14"/>
  <c r="N9" i="14"/>
  <c r="N10" i="14"/>
  <c r="N11" i="14"/>
  <c r="N12" i="14"/>
  <c r="N13" i="14"/>
  <c r="N14" i="14"/>
  <c r="N15" i="14"/>
  <c r="N7" i="14"/>
  <c r="J8" i="14"/>
  <c r="J9" i="14"/>
  <c r="J10" i="14"/>
  <c r="J11" i="14"/>
  <c r="J12" i="14"/>
  <c r="J13" i="14"/>
  <c r="J14" i="14"/>
  <c r="J15" i="14"/>
  <c r="J7" i="14"/>
  <c r="Q27" i="11"/>
  <c r="Q26" i="11"/>
  <c r="Q25" i="11"/>
  <c r="Q24" i="11"/>
  <c r="Q23" i="11"/>
  <c r="Q22" i="11"/>
  <c r="Q21" i="11"/>
  <c r="Q7" i="11"/>
  <c r="Q8" i="11"/>
  <c r="Q9" i="11"/>
  <c r="Q10" i="11"/>
  <c r="Q11" i="11"/>
  <c r="Q12" i="11"/>
  <c r="Q13" i="11"/>
  <c r="Q14" i="11"/>
  <c r="Q15" i="11"/>
  <c r="Q16" i="11"/>
  <c r="Q17" i="11"/>
  <c r="Q6" i="11"/>
  <c r="N7" i="8"/>
  <c r="N8" i="8"/>
  <c r="N9" i="8"/>
  <c r="N10" i="8"/>
  <c r="N11" i="8"/>
  <c r="N12" i="8"/>
  <c r="N13" i="8"/>
  <c r="N14" i="8"/>
  <c r="N15" i="8"/>
  <c r="N16" i="8"/>
  <c r="N6" i="8"/>
  <c r="M11" i="8"/>
  <c r="M12" i="8"/>
  <c r="N12" i="1"/>
  <c r="N8" i="1"/>
  <c r="N7" i="1"/>
  <c r="N9" i="1"/>
  <c r="O9" i="20" l="1"/>
  <c r="O10" i="20"/>
  <c r="O11" i="20"/>
  <c r="O12" i="20"/>
  <c r="O13" i="20"/>
  <c r="N8" i="20"/>
  <c r="N9" i="20"/>
  <c r="N10" i="20"/>
  <c r="N11" i="20"/>
  <c r="N12" i="20"/>
  <c r="N13" i="20"/>
  <c r="M9" i="20"/>
  <c r="M10" i="20"/>
  <c r="M11" i="20"/>
  <c r="M13" i="20"/>
  <c r="L9" i="20"/>
  <c r="L10" i="20"/>
  <c r="L11" i="20"/>
  <c r="L12" i="20"/>
  <c r="L13" i="20"/>
  <c r="L8" i="20"/>
  <c r="P5" i="36"/>
  <c r="I6" i="36"/>
  <c r="I7" i="36"/>
  <c r="I12" i="36"/>
  <c r="I5" i="36"/>
  <c r="H6" i="36"/>
  <c r="H7" i="36"/>
  <c r="H8" i="36"/>
  <c r="H9" i="36"/>
  <c r="H10" i="36"/>
  <c r="H11" i="36"/>
  <c r="H12" i="36"/>
  <c r="H5" i="36"/>
  <c r="G7" i="36"/>
  <c r="E6" i="36"/>
  <c r="F6" i="36"/>
  <c r="E7" i="36"/>
  <c r="F7" i="36"/>
  <c r="F5" i="36"/>
  <c r="E5" i="36"/>
  <c r="P6" i="35"/>
  <c r="P7" i="35"/>
  <c r="I6" i="35"/>
  <c r="I5" i="35"/>
  <c r="H6" i="35"/>
  <c r="H7" i="35"/>
  <c r="H10" i="35"/>
  <c r="H11" i="35"/>
  <c r="H12" i="35"/>
  <c r="H5" i="35"/>
  <c r="G7" i="35"/>
  <c r="G10" i="35"/>
  <c r="G11" i="35"/>
  <c r="G12" i="35"/>
  <c r="F6" i="35"/>
  <c r="F7" i="35"/>
  <c r="F10" i="35"/>
  <c r="F11" i="35"/>
  <c r="F12" i="35"/>
  <c r="E6" i="35"/>
  <c r="E7" i="35"/>
  <c r="E10" i="35"/>
  <c r="E11" i="35"/>
  <c r="E12" i="35"/>
  <c r="F5" i="35"/>
  <c r="E5" i="35"/>
  <c r="Q6" i="34" l="1"/>
  <c r="Q7" i="34"/>
  <c r="Q8" i="34"/>
  <c r="Q11" i="34"/>
  <c r="O6" i="34"/>
  <c r="O8" i="34"/>
  <c r="N6" i="34"/>
  <c r="N7" i="34"/>
  <c r="N8" i="34"/>
  <c r="N11" i="34"/>
  <c r="M6" i="34"/>
  <c r="M7" i="34"/>
  <c r="M8" i="34"/>
  <c r="N5" i="34"/>
  <c r="M5" i="34"/>
  <c r="H6" i="34"/>
  <c r="H7" i="34"/>
  <c r="H8" i="34"/>
  <c r="I8" i="34" s="1"/>
  <c r="H11" i="34"/>
  <c r="H12" i="34"/>
  <c r="H13" i="34"/>
  <c r="H14" i="34"/>
  <c r="H5" i="34"/>
  <c r="I5" i="34" s="1"/>
  <c r="I6" i="34"/>
  <c r="I7" i="34"/>
  <c r="I11" i="34"/>
  <c r="I14" i="34"/>
  <c r="G6" i="34"/>
  <c r="G8" i="34"/>
  <c r="G12" i="34"/>
  <c r="G13" i="34"/>
  <c r="G14" i="34"/>
  <c r="F6" i="34"/>
  <c r="F7" i="34"/>
  <c r="F8" i="34"/>
  <c r="F11" i="34"/>
  <c r="F12" i="34"/>
  <c r="F13" i="34"/>
  <c r="F14" i="34"/>
  <c r="F5" i="34"/>
  <c r="E6" i="34"/>
  <c r="E7" i="34"/>
  <c r="E8" i="34"/>
  <c r="E11" i="34"/>
  <c r="E12" i="34"/>
  <c r="E13" i="34"/>
  <c r="E14" i="34"/>
  <c r="E5" i="34"/>
  <c r="O7" i="33"/>
  <c r="N8" i="33"/>
  <c r="N7" i="33"/>
  <c r="M8" i="33"/>
  <c r="M7" i="33"/>
  <c r="L8" i="33"/>
  <c r="L7" i="33"/>
  <c r="J8" i="33"/>
  <c r="J7" i="33"/>
  <c r="T8" i="21"/>
  <c r="T9" i="21"/>
  <c r="T10" i="21"/>
  <c r="T11" i="21"/>
  <c r="T12" i="21"/>
  <c r="T7" i="21"/>
  <c r="S8" i="21"/>
  <c r="S9" i="21"/>
  <c r="S10" i="21"/>
  <c r="S11" i="21"/>
  <c r="S12" i="21"/>
  <c r="R8" i="21"/>
  <c r="R9" i="21"/>
  <c r="R10" i="21"/>
  <c r="R11" i="21"/>
  <c r="R12" i="21"/>
  <c r="O8" i="21"/>
  <c r="P8" i="21" s="1"/>
  <c r="O9" i="21"/>
  <c r="O10" i="21"/>
  <c r="O11" i="21"/>
  <c r="P11" i="21" s="1"/>
  <c r="O12" i="21"/>
  <c r="P12" i="21" s="1"/>
  <c r="O7" i="21"/>
  <c r="P7" i="21" s="1"/>
  <c r="L8" i="21"/>
  <c r="M8" i="21" s="1"/>
  <c r="L9" i="21"/>
  <c r="L10" i="21"/>
  <c r="L11" i="21"/>
  <c r="M11" i="21" s="1"/>
  <c r="L12" i="21"/>
  <c r="M12" i="21" s="1"/>
  <c r="L7" i="21"/>
  <c r="M9" i="21"/>
  <c r="M10" i="21"/>
  <c r="P9" i="21"/>
  <c r="P10" i="21"/>
  <c r="M7" i="21"/>
  <c r="Z12" i="21"/>
  <c r="Z11" i="21"/>
  <c r="Z10" i="21"/>
  <c r="Z9" i="21"/>
  <c r="Z8" i="21"/>
  <c r="Z7" i="21"/>
  <c r="W8" i="21"/>
  <c r="W9" i="21"/>
  <c r="W10" i="21"/>
  <c r="W11" i="21"/>
  <c r="W12" i="21"/>
  <c r="W7" i="21"/>
  <c r="T9" i="23"/>
  <c r="T10" i="23"/>
  <c r="T11" i="23"/>
  <c r="T12" i="23"/>
  <c r="T13" i="23"/>
  <c r="T14" i="23"/>
  <c r="T15" i="23"/>
  <c r="T16" i="23"/>
  <c r="S9" i="23"/>
  <c r="S10" i="23"/>
  <c r="S11" i="23"/>
  <c r="S12" i="23"/>
  <c r="S13" i="23"/>
  <c r="S14" i="23"/>
  <c r="S15" i="23"/>
  <c r="S16" i="23"/>
  <c r="R9" i="23"/>
  <c r="R10" i="23"/>
  <c r="R11" i="23"/>
  <c r="R12" i="23"/>
  <c r="R13" i="23"/>
  <c r="P9" i="23"/>
  <c r="P10" i="23"/>
  <c r="P11" i="23"/>
  <c r="P12" i="23"/>
  <c r="P13" i="23"/>
  <c r="P14" i="23"/>
  <c r="P15" i="23"/>
  <c r="P16" i="23"/>
  <c r="P8" i="23"/>
  <c r="M9" i="23"/>
  <c r="M10" i="23"/>
  <c r="M11" i="23"/>
  <c r="M12" i="23"/>
  <c r="M13" i="23"/>
  <c r="M14" i="23"/>
  <c r="M15" i="23"/>
  <c r="M16" i="23"/>
  <c r="M8" i="23"/>
  <c r="T9" i="22"/>
  <c r="T10" i="22"/>
  <c r="T11" i="22"/>
  <c r="T12" i="22"/>
  <c r="T13" i="22"/>
  <c r="T15" i="22"/>
  <c r="S9" i="22"/>
  <c r="S10" i="22"/>
  <c r="S11" i="22"/>
  <c r="S12" i="22"/>
  <c r="S13" i="22"/>
  <c r="S14" i="22"/>
  <c r="S15" i="22"/>
  <c r="S16" i="22"/>
  <c r="R9" i="22"/>
  <c r="R10" i="22"/>
  <c r="R13" i="22"/>
  <c r="R15" i="22"/>
  <c r="P9" i="22"/>
  <c r="P10" i="22"/>
  <c r="P11" i="22"/>
  <c r="P12" i="22"/>
  <c r="P13" i="22"/>
  <c r="P14" i="22"/>
  <c r="P15" i="22"/>
  <c r="P16" i="22"/>
  <c r="P8" i="22"/>
  <c r="M9" i="22"/>
  <c r="M10" i="22"/>
  <c r="M11" i="22"/>
  <c r="M12" i="22"/>
  <c r="M13" i="22"/>
  <c r="M14" i="22"/>
  <c r="M15" i="22"/>
  <c r="M16" i="22"/>
  <c r="M8" i="22"/>
  <c r="T6" i="27"/>
  <c r="T7" i="27"/>
  <c r="T8" i="27"/>
  <c r="T9" i="27"/>
  <c r="T10" i="27"/>
  <c r="T11" i="27"/>
  <c r="T13" i="27"/>
  <c r="T14" i="27"/>
  <c r="T15" i="27"/>
  <c r="T16" i="27"/>
  <c r="T17" i="27"/>
  <c r="T18" i="27"/>
  <c r="T20" i="27"/>
  <c r="T5" i="27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R6" i="27"/>
  <c r="R9" i="27"/>
  <c r="R11" i="27"/>
  <c r="R12" i="27"/>
  <c r="R15" i="27"/>
  <c r="R16" i="27"/>
  <c r="R20" i="27"/>
  <c r="R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T7" i="26"/>
  <c r="T8" i="26"/>
  <c r="T9" i="26"/>
  <c r="T10" i="26"/>
  <c r="T12" i="26"/>
  <c r="T13" i="26"/>
  <c r="T14" i="26"/>
  <c r="T15" i="26"/>
  <c r="T16" i="26"/>
  <c r="T19" i="26"/>
  <c r="T21" i="26"/>
  <c r="T22" i="26"/>
  <c r="T23" i="26"/>
  <c r="T24" i="26"/>
  <c r="T25" i="26"/>
  <c r="T26" i="26"/>
  <c r="T27" i="26"/>
  <c r="T28" i="26"/>
  <c r="T29" i="26"/>
  <c r="T30" i="26"/>
  <c r="T31" i="26"/>
  <c r="T6" i="26"/>
  <c r="R10" i="26"/>
  <c r="R12" i="26"/>
  <c r="R13" i="26"/>
  <c r="R14" i="26"/>
  <c r="R15" i="26"/>
  <c r="R16" i="26"/>
  <c r="R17" i="26"/>
  <c r="R18" i="26"/>
  <c r="R19" i="26"/>
  <c r="R22" i="26"/>
  <c r="R23" i="26"/>
  <c r="R25" i="26"/>
  <c r="R26" i="26"/>
  <c r="R31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6" i="26"/>
  <c r="O9" i="24"/>
  <c r="O10" i="24"/>
  <c r="O11" i="24"/>
  <c r="O12" i="24"/>
  <c r="M9" i="24"/>
  <c r="M10" i="24"/>
  <c r="L11" i="24"/>
  <c r="J11" i="24"/>
  <c r="J9" i="24"/>
  <c r="J10" i="24"/>
  <c r="J8" i="24"/>
  <c r="M8" i="24" s="1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6" i="26"/>
  <c r="L9" i="24"/>
  <c r="L10" i="24"/>
  <c r="L8" i="24"/>
  <c r="Q6" i="19"/>
  <c r="Q7" i="19"/>
  <c r="Q9" i="19"/>
  <c r="Q10" i="19"/>
  <c r="Q12" i="19"/>
  <c r="Q13" i="19"/>
  <c r="Q14" i="19"/>
  <c r="Q15" i="19"/>
  <c r="Q16" i="19"/>
  <c r="Q18" i="19"/>
  <c r="Q19" i="19"/>
  <c r="Q20" i="19"/>
  <c r="Q21" i="19"/>
  <c r="Q22" i="19"/>
  <c r="Q23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O6" i="19"/>
  <c r="O7" i="19"/>
  <c r="O8" i="19"/>
  <c r="O9" i="19"/>
  <c r="O11" i="19"/>
  <c r="O12" i="19"/>
  <c r="O13" i="19"/>
  <c r="O14" i="19"/>
  <c r="O15" i="19"/>
  <c r="O16" i="19"/>
  <c r="O17" i="19"/>
  <c r="O18" i="19"/>
  <c r="O19" i="19"/>
  <c r="O20" i="19"/>
  <c r="O22" i="19"/>
  <c r="O23" i="19"/>
  <c r="O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2" i="19"/>
  <c r="G23" i="19"/>
  <c r="G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5" i="19"/>
  <c r="Q6" i="18"/>
  <c r="Q7" i="18"/>
  <c r="Q8" i="18"/>
  <c r="Q9" i="18"/>
  <c r="Q10" i="18"/>
  <c r="Q11" i="18"/>
  <c r="Q12" i="18"/>
  <c r="Q13" i="18"/>
  <c r="Q15" i="18"/>
  <c r="Q16" i="18"/>
  <c r="Q17" i="18"/>
  <c r="Q18" i="18"/>
  <c r="Q19" i="18"/>
  <c r="Q21" i="18"/>
  <c r="Q22" i="18"/>
  <c r="Q23" i="18"/>
  <c r="O6" i="18"/>
  <c r="O12" i="18"/>
  <c r="O13" i="18"/>
  <c r="O15" i="18"/>
  <c r="O16" i="18"/>
  <c r="O17" i="18"/>
  <c r="O19" i="18"/>
  <c r="O23" i="18"/>
  <c r="O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1" i="18"/>
  <c r="I22" i="18"/>
  <c r="I23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I20" i="18" s="1"/>
  <c r="H21" i="18"/>
  <c r="H22" i="18"/>
  <c r="H23" i="18"/>
  <c r="G6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3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G5" i="18"/>
  <c r="F5" i="18"/>
  <c r="Q27" i="13"/>
  <c r="Q26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1" i="13"/>
  <c r="Q22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O27" i="13"/>
  <c r="O6" i="13"/>
  <c r="O8" i="13"/>
  <c r="O9" i="13"/>
  <c r="O11" i="13"/>
  <c r="O12" i="13"/>
  <c r="O13" i="13"/>
  <c r="O15" i="13"/>
  <c r="O16" i="13"/>
  <c r="O18" i="13"/>
  <c r="O19" i="13"/>
  <c r="O21" i="13"/>
  <c r="O5" i="13"/>
  <c r="N27" i="13"/>
  <c r="N26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5" i="13"/>
  <c r="I27" i="13"/>
  <c r="I26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5" i="13"/>
  <c r="G26" i="13"/>
  <c r="G27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F27" i="13"/>
  <c r="F26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5" i="13"/>
  <c r="N8" i="15"/>
  <c r="N9" i="15"/>
  <c r="N10" i="15"/>
  <c r="N11" i="15"/>
  <c r="N12" i="15"/>
  <c r="N13" i="15"/>
  <c r="O13" i="15" s="1"/>
  <c r="N14" i="15"/>
  <c r="N15" i="15"/>
  <c r="N16" i="15"/>
  <c r="M8" i="15"/>
  <c r="M10" i="15"/>
  <c r="M11" i="15"/>
  <c r="M13" i="15"/>
  <c r="M16" i="15"/>
  <c r="L8" i="15"/>
  <c r="L9" i="15"/>
  <c r="L10" i="15"/>
  <c r="L11" i="15"/>
  <c r="L12" i="15"/>
  <c r="L13" i="15"/>
  <c r="L14" i="15"/>
  <c r="L15" i="15"/>
  <c r="L16" i="15"/>
  <c r="L7" i="15"/>
  <c r="M8" i="14"/>
  <c r="M9" i="14"/>
  <c r="M10" i="14"/>
  <c r="M11" i="14"/>
  <c r="M12" i="14"/>
  <c r="L8" i="14"/>
  <c r="L9" i="14"/>
  <c r="L10" i="14"/>
  <c r="L11" i="14"/>
  <c r="L12" i="14"/>
  <c r="L13" i="14"/>
  <c r="L14" i="14"/>
  <c r="L15" i="14"/>
  <c r="L7" i="14"/>
  <c r="T31" i="12"/>
  <c r="T27" i="12"/>
  <c r="T26" i="12"/>
  <c r="T25" i="12"/>
  <c r="T24" i="12"/>
  <c r="T23" i="12"/>
  <c r="T22" i="12"/>
  <c r="T21" i="12"/>
  <c r="T20" i="12"/>
  <c r="T7" i="12"/>
  <c r="T8" i="12"/>
  <c r="T9" i="12"/>
  <c r="T10" i="12"/>
  <c r="T11" i="12"/>
  <c r="T12" i="12"/>
  <c r="T13" i="12"/>
  <c r="T14" i="12"/>
  <c r="T15" i="12"/>
  <c r="T16" i="12"/>
  <c r="S31" i="12"/>
  <c r="S27" i="12"/>
  <c r="S26" i="12"/>
  <c r="S25" i="12"/>
  <c r="S24" i="12"/>
  <c r="S23" i="12"/>
  <c r="S22" i="12"/>
  <c r="S21" i="12"/>
  <c r="S20" i="12"/>
  <c r="S7" i="12"/>
  <c r="S8" i="12"/>
  <c r="S9" i="12"/>
  <c r="S10" i="12"/>
  <c r="S11" i="12"/>
  <c r="S12" i="12"/>
  <c r="S13" i="12"/>
  <c r="S14" i="12"/>
  <c r="S15" i="12"/>
  <c r="S16" i="12"/>
  <c r="R27" i="12"/>
  <c r="R26" i="12"/>
  <c r="R25" i="12"/>
  <c r="R24" i="12"/>
  <c r="R23" i="12"/>
  <c r="R21" i="12"/>
  <c r="R20" i="12"/>
  <c r="R7" i="12"/>
  <c r="R8" i="12"/>
  <c r="R9" i="12"/>
  <c r="R10" i="12"/>
  <c r="R11" i="12"/>
  <c r="R12" i="12"/>
  <c r="R13" i="12"/>
  <c r="R14" i="12"/>
  <c r="R15" i="12"/>
  <c r="R16" i="12"/>
  <c r="R6" i="12"/>
  <c r="P31" i="12"/>
  <c r="P27" i="12"/>
  <c r="P26" i="12"/>
  <c r="P25" i="12"/>
  <c r="P24" i="12"/>
  <c r="P23" i="12"/>
  <c r="P22" i="12"/>
  <c r="P21" i="12"/>
  <c r="P20" i="12"/>
  <c r="P7" i="12"/>
  <c r="P8" i="12"/>
  <c r="P9" i="12"/>
  <c r="P10" i="12"/>
  <c r="P11" i="12"/>
  <c r="P12" i="12"/>
  <c r="P13" i="12"/>
  <c r="P14" i="12"/>
  <c r="P15" i="12"/>
  <c r="P16" i="12"/>
  <c r="P6" i="12"/>
  <c r="Q16" i="12"/>
  <c r="Q15" i="12"/>
  <c r="Q14" i="12"/>
  <c r="Q13" i="12"/>
  <c r="Q12" i="12"/>
  <c r="Q11" i="12"/>
  <c r="Q10" i="12"/>
  <c r="Q9" i="12"/>
  <c r="Q8" i="12"/>
  <c r="Q7" i="12"/>
  <c r="Q27" i="12"/>
  <c r="Q26" i="12"/>
  <c r="Q25" i="12"/>
  <c r="Q24" i="12"/>
  <c r="Q23" i="12"/>
  <c r="Q22" i="12"/>
  <c r="Q21" i="12"/>
  <c r="Q20" i="12"/>
  <c r="Q31" i="12"/>
  <c r="K31" i="12"/>
  <c r="E31" i="12"/>
  <c r="K27" i="12"/>
  <c r="K26" i="12"/>
  <c r="K25" i="12"/>
  <c r="K24" i="12"/>
  <c r="K23" i="12"/>
  <c r="K22" i="12"/>
  <c r="K21" i="12"/>
  <c r="K20" i="12"/>
  <c r="H27" i="12"/>
  <c r="H26" i="12"/>
  <c r="H25" i="12"/>
  <c r="H24" i="12"/>
  <c r="H23" i="12"/>
  <c r="H22" i="12"/>
  <c r="H21" i="12"/>
  <c r="H20" i="12"/>
  <c r="E27" i="12"/>
  <c r="E26" i="12"/>
  <c r="E25" i="12"/>
  <c r="E24" i="12"/>
  <c r="E23" i="12"/>
  <c r="E22" i="12"/>
  <c r="E21" i="12"/>
  <c r="E20" i="12"/>
  <c r="K8" i="12"/>
  <c r="K9" i="12"/>
  <c r="K10" i="12"/>
  <c r="K11" i="12"/>
  <c r="K12" i="12"/>
  <c r="K13" i="12"/>
  <c r="K14" i="12"/>
  <c r="K15" i="12"/>
  <c r="K16" i="12"/>
  <c r="K7" i="12"/>
  <c r="H8" i="12"/>
  <c r="H9" i="12"/>
  <c r="H10" i="12"/>
  <c r="H11" i="12"/>
  <c r="H12" i="12"/>
  <c r="H13" i="12"/>
  <c r="H14" i="12"/>
  <c r="H15" i="12"/>
  <c r="H16" i="12"/>
  <c r="H7" i="12"/>
  <c r="E8" i="12"/>
  <c r="E9" i="12"/>
  <c r="E10" i="12"/>
  <c r="E11" i="12"/>
  <c r="E12" i="12"/>
  <c r="E13" i="12"/>
  <c r="E14" i="12"/>
  <c r="E15" i="12"/>
  <c r="E16" i="12"/>
  <c r="E7" i="12"/>
  <c r="N31" i="12"/>
  <c r="N27" i="12"/>
  <c r="N26" i="12"/>
  <c r="N25" i="12"/>
  <c r="N24" i="12"/>
  <c r="N23" i="12"/>
  <c r="N22" i="12"/>
  <c r="N21" i="12"/>
  <c r="N20" i="12"/>
  <c r="N13" i="12"/>
  <c r="N14" i="12"/>
  <c r="N15" i="12"/>
  <c r="N16" i="12"/>
  <c r="N8" i="12"/>
  <c r="N9" i="12"/>
  <c r="N10" i="12"/>
  <c r="N11" i="12"/>
  <c r="N12" i="12"/>
  <c r="N7" i="12"/>
  <c r="U19" i="12"/>
  <c r="V19" i="12"/>
  <c r="W19" i="12"/>
  <c r="X19" i="12"/>
  <c r="Y19" i="12"/>
  <c r="Z19" i="12"/>
  <c r="T27" i="11"/>
  <c r="T26" i="11"/>
  <c r="T25" i="11"/>
  <c r="T23" i="11"/>
  <c r="T22" i="11"/>
  <c r="T21" i="11"/>
  <c r="R27" i="11"/>
  <c r="R26" i="11"/>
  <c r="R25" i="11"/>
  <c r="R24" i="11"/>
  <c r="R23" i="11"/>
  <c r="R22" i="11"/>
  <c r="R21" i="11"/>
  <c r="T6" i="11"/>
  <c r="T8" i="11"/>
  <c r="T9" i="11"/>
  <c r="T10" i="11"/>
  <c r="T11" i="11"/>
  <c r="T12" i="11"/>
  <c r="T13" i="11"/>
  <c r="T14" i="11"/>
  <c r="T15" i="11"/>
  <c r="T16" i="11"/>
  <c r="T17" i="11"/>
  <c r="T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27" i="11"/>
  <c r="P26" i="11"/>
  <c r="P25" i="11"/>
  <c r="P24" i="11"/>
  <c r="P23" i="11"/>
  <c r="P22" i="11"/>
  <c r="P21" i="11"/>
  <c r="P5" i="11"/>
  <c r="O6" i="11"/>
  <c r="O7" i="8"/>
  <c r="O8" i="8"/>
  <c r="O9" i="8"/>
  <c r="O10" i="8"/>
  <c r="O11" i="8"/>
  <c r="O12" i="8"/>
  <c r="O13" i="8"/>
  <c r="O14" i="8"/>
  <c r="O16" i="8"/>
  <c r="T7" i="5"/>
  <c r="T10" i="5"/>
  <c r="T11" i="5"/>
  <c r="T6" i="5"/>
  <c r="S7" i="5"/>
  <c r="S10" i="5"/>
  <c r="S11" i="5"/>
  <c r="S6" i="5"/>
  <c r="R7" i="5"/>
  <c r="R10" i="5"/>
  <c r="R11" i="5"/>
  <c r="R6" i="5"/>
  <c r="Q11" i="5"/>
  <c r="Q10" i="5"/>
  <c r="Q7" i="5"/>
  <c r="N7" i="5"/>
  <c r="K11" i="5"/>
  <c r="K10" i="5"/>
  <c r="K7" i="5"/>
  <c r="H11" i="5"/>
  <c r="H10" i="5"/>
  <c r="H7" i="5"/>
  <c r="O7" i="4"/>
  <c r="O8" i="4"/>
  <c r="O9" i="4"/>
  <c r="O10" i="4"/>
  <c r="O11" i="4"/>
  <c r="O6" i="4"/>
  <c r="N7" i="4"/>
  <c r="N8" i="4"/>
  <c r="N9" i="4"/>
  <c r="N10" i="4"/>
  <c r="N11" i="4"/>
  <c r="N6" i="4"/>
  <c r="M7" i="4"/>
  <c r="M8" i="4"/>
  <c r="M9" i="4"/>
  <c r="M11" i="4"/>
  <c r="M6" i="4"/>
  <c r="L11" i="4"/>
  <c r="S9" i="3"/>
  <c r="S10" i="3"/>
  <c r="S11" i="3"/>
  <c r="S12" i="3"/>
  <c r="S13" i="3"/>
  <c r="S14" i="3"/>
  <c r="S15" i="3"/>
  <c r="S16" i="3"/>
  <c r="S17" i="3"/>
  <c r="S18" i="3"/>
  <c r="S8" i="3"/>
  <c r="R9" i="3"/>
  <c r="R10" i="3"/>
  <c r="R11" i="3"/>
  <c r="R12" i="3"/>
  <c r="R14" i="3"/>
  <c r="R15" i="3"/>
  <c r="R16" i="3"/>
  <c r="R17" i="3"/>
  <c r="R18" i="3"/>
  <c r="P18" i="3"/>
  <c r="M18" i="3"/>
  <c r="J18" i="3"/>
  <c r="G18" i="3"/>
  <c r="Q18" i="3"/>
  <c r="Q17" i="3"/>
  <c r="Q16" i="3"/>
  <c r="Q15" i="3"/>
  <c r="Q14" i="3"/>
  <c r="Q13" i="3"/>
  <c r="Q12" i="3"/>
  <c r="Q11" i="3"/>
  <c r="Q10" i="3"/>
  <c r="Q9" i="3"/>
  <c r="N18" i="3"/>
  <c r="N17" i="3"/>
  <c r="N16" i="3"/>
  <c r="N15" i="3"/>
  <c r="N14" i="3"/>
  <c r="N13" i="3"/>
  <c r="N12" i="3"/>
  <c r="N11" i="3"/>
  <c r="N10" i="3"/>
  <c r="N9" i="3"/>
  <c r="H18" i="3"/>
  <c r="H17" i="3"/>
  <c r="H16" i="3"/>
  <c r="H15" i="3"/>
  <c r="H14" i="3"/>
  <c r="H13" i="3"/>
  <c r="H12" i="3"/>
  <c r="H11" i="3"/>
  <c r="H10" i="3"/>
  <c r="H9" i="3"/>
  <c r="K18" i="3"/>
  <c r="K14" i="3"/>
  <c r="O18" i="3"/>
  <c r="L18" i="3"/>
  <c r="I18" i="3"/>
  <c r="F18" i="3"/>
  <c r="J12" i="1"/>
  <c r="J8" i="1"/>
  <c r="L8" i="1"/>
  <c r="I12" i="1"/>
  <c r="P12" i="36" l="1"/>
  <c r="P11" i="36"/>
  <c r="P10" i="36"/>
  <c r="P9" i="36"/>
  <c r="P8" i="36"/>
  <c r="P7" i="36"/>
  <c r="Q7" i="36" s="1"/>
  <c r="P6" i="36"/>
  <c r="Q6" i="36" s="1"/>
  <c r="Q5" i="36"/>
  <c r="G5" i="36"/>
  <c r="J9" i="23" l="1"/>
  <c r="J10" i="23"/>
  <c r="J11" i="23"/>
  <c r="J12" i="23"/>
  <c r="J13" i="23"/>
  <c r="J14" i="23"/>
  <c r="J15" i="23"/>
  <c r="J16" i="23"/>
  <c r="J8" i="23"/>
  <c r="G9" i="23"/>
  <c r="G10" i="23"/>
  <c r="G11" i="23"/>
  <c r="G12" i="23"/>
  <c r="G13" i="23"/>
  <c r="G14" i="23"/>
  <c r="G15" i="23"/>
  <c r="G16" i="23"/>
  <c r="G8" i="23"/>
  <c r="N16" i="23"/>
  <c r="K16" i="23"/>
  <c r="H16" i="23"/>
  <c r="N15" i="23"/>
  <c r="K15" i="23"/>
  <c r="H15" i="23"/>
  <c r="N14" i="23"/>
  <c r="K14" i="23"/>
  <c r="H14" i="23"/>
  <c r="N13" i="23"/>
  <c r="K13" i="23"/>
  <c r="H13" i="23"/>
  <c r="N12" i="23"/>
  <c r="K12" i="23"/>
  <c r="H12" i="23"/>
  <c r="N11" i="23"/>
  <c r="K11" i="23"/>
  <c r="H11" i="23"/>
  <c r="N10" i="23"/>
  <c r="K10" i="23"/>
  <c r="H10" i="23"/>
  <c r="N9" i="23"/>
  <c r="K9" i="23"/>
  <c r="H9" i="23"/>
  <c r="G9" i="22"/>
  <c r="G10" i="22"/>
  <c r="G11" i="22"/>
  <c r="G12" i="22"/>
  <c r="G13" i="22"/>
  <c r="G14" i="22"/>
  <c r="G15" i="22"/>
  <c r="G16" i="22"/>
  <c r="G8" i="22"/>
  <c r="N16" i="22"/>
  <c r="K16" i="22"/>
  <c r="H16" i="22"/>
  <c r="N15" i="22"/>
  <c r="K15" i="22"/>
  <c r="H15" i="22"/>
  <c r="N14" i="22"/>
  <c r="K14" i="22"/>
  <c r="H14" i="22"/>
  <c r="N13" i="22"/>
  <c r="K13" i="22"/>
  <c r="H13" i="22"/>
  <c r="N12" i="22"/>
  <c r="K12" i="22"/>
  <c r="H12" i="22"/>
  <c r="N11" i="22"/>
  <c r="K11" i="22"/>
  <c r="H11" i="22"/>
  <c r="N10" i="22"/>
  <c r="K10" i="22"/>
  <c r="H10" i="22"/>
  <c r="N9" i="22"/>
  <c r="K9" i="22"/>
  <c r="H9" i="22"/>
  <c r="S7" i="21"/>
  <c r="N12" i="21"/>
  <c r="K12" i="21"/>
  <c r="H12" i="21"/>
  <c r="N11" i="21"/>
  <c r="K11" i="21"/>
  <c r="H11" i="21"/>
  <c r="N10" i="21"/>
  <c r="K10" i="21"/>
  <c r="H10" i="21"/>
  <c r="N9" i="21"/>
  <c r="K9" i="21"/>
  <c r="H9" i="21"/>
  <c r="N8" i="21"/>
  <c r="K8" i="21"/>
  <c r="H8" i="21"/>
  <c r="J9" i="28"/>
  <c r="H9" i="28"/>
  <c r="F9" i="28"/>
  <c r="D9" i="28"/>
  <c r="J8" i="28"/>
  <c r="H8" i="28"/>
  <c r="F8" i="28"/>
  <c r="D8" i="28"/>
  <c r="J7" i="28"/>
  <c r="H7" i="28"/>
  <c r="F7" i="28"/>
  <c r="D7" i="28"/>
  <c r="N20" i="27"/>
  <c r="K20" i="27"/>
  <c r="H20" i="27"/>
  <c r="E20" i="27"/>
  <c r="N19" i="27"/>
  <c r="K19" i="27"/>
  <c r="H19" i="27"/>
  <c r="E19" i="27"/>
  <c r="N18" i="27"/>
  <c r="K18" i="27"/>
  <c r="H18" i="27"/>
  <c r="E18" i="27"/>
  <c r="N17" i="27"/>
  <c r="K17" i="27"/>
  <c r="H17" i="27"/>
  <c r="E17" i="27"/>
  <c r="N16" i="27"/>
  <c r="K16" i="27"/>
  <c r="H16" i="27"/>
  <c r="E16" i="27"/>
  <c r="N15" i="27"/>
  <c r="K15" i="27"/>
  <c r="H15" i="27"/>
  <c r="E15" i="27"/>
  <c r="N14" i="27"/>
  <c r="K14" i="27"/>
  <c r="H14" i="27"/>
  <c r="E14" i="27"/>
  <c r="N13" i="27"/>
  <c r="K13" i="27"/>
  <c r="H13" i="27"/>
  <c r="E13" i="27"/>
  <c r="N12" i="27"/>
  <c r="K12" i="27"/>
  <c r="H12" i="27"/>
  <c r="E12" i="27"/>
  <c r="N11" i="27"/>
  <c r="K11" i="27"/>
  <c r="H11" i="27"/>
  <c r="E11" i="27"/>
  <c r="N10" i="27"/>
  <c r="K10" i="27"/>
  <c r="H10" i="27"/>
  <c r="E10" i="27"/>
  <c r="N9" i="27"/>
  <c r="K9" i="27"/>
  <c r="H9" i="27"/>
  <c r="E9" i="27"/>
  <c r="N8" i="27"/>
  <c r="K8" i="27"/>
  <c r="H8" i="27"/>
  <c r="E8" i="27"/>
  <c r="N7" i="27"/>
  <c r="K7" i="27"/>
  <c r="H7" i="27"/>
  <c r="E7" i="27"/>
  <c r="N6" i="27"/>
  <c r="K6" i="27"/>
  <c r="H6" i="27"/>
  <c r="E6" i="27"/>
  <c r="H7" i="26"/>
  <c r="N31" i="26"/>
  <c r="K31" i="26"/>
  <c r="H31" i="26"/>
  <c r="N30" i="26"/>
  <c r="K30" i="26"/>
  <c r="H30" i="26"/>
  <c r="N29" i="26"/>
  <c r="K29" i="26"/>
  <c r="H29" i="26"/>
  <c r="N28" i="26"/>
  <c r="K28" i="26"/>
  <c r="H28" i="26"/>
  <c r="N27" i="26"/>
  <c r="K27" i="26"/>
  <c r="H27" i="26"/>
  <c r="N26" i="26"/>
  <c r="K26" i="26"/>
  <c r="H26" i="26"/>
  <c r="N25" i="26"/>
  <c r="K25" i="26"/>
  <c r="H25" i="26"/>
  <c r="N24" i="26"/>
  <c r="K24" i="26"/>
  <c r="H24" i="26"/>
  <c r="N23" i="26"/>
  <c r="K23" i="26"/>
  <c r="H23" i="26"/>
  <c r="N22" i="26"/>
  <c r="K22" i="26"/>
  <c r="H22" i="26"/>
  <c r="N21" i="26"/>
  <c r="K21" i="26"/>
  <c r="H21" i="26"/>
  <c r="N20" i="26"/>
  <c r="K20" i="26"/>
  <c r="H20" i="26"/>
  <c r="N19" i="26"/>
  <c r="K19" i="26"/>
  <c r="H19" i="26"/>
  <c r="N18" i="26"/>
  <c r="K18" i="26"/>
  <c r="H18" i="26"/>
  <c r="N17" i="26"/>
  <c r="K17" i="26"/>
  <c r="H17" i="26"/>
  <c r="N16" i="26"/>
  <c r="K16" i="26"/>
  <c r="H16" i="26"/>
  <c r="N15" i="26"/>
  <c r="K15" i="26"/>
  <c r="H15" i="26"/>
  <c r="N14" i="26"/>
  <c r="K14" i="26"/>
  <c r="H14" i="26"/>
  <c r="N13" i="26"/>
  <c r="K13" i="26"/>
  <c r="H13" i="26"/>
  <c r="N12" i="26"/>
  <c r="K12" i="26"/>
  <c r="H12" i="26"/>
  <c r="N11" i="26"/>
  <c r="K11" i="26"/>
  <c r="H11" i="26"/>
  <c r="N10" i="26"/>
  <c r="K10" i="26"/>
  <c r="H10" i="26"/>
  <c r="N9" i="26"/>
  <c r="K9" i="26"/>
  <c r="H9" i="26"/>
  <c r="N8" i="26"/>
  <c r="K8" i="26"/>
  <c r="H8" i="26"/>
  <c r="N7" i="26"/>
  <c r="K7" i="26"/>
  <c r="Q7" i="35"/>
  <c r="Q6" i="35"/>
  <c r="P5" i="35"/>
  <c r="Q5" i="35" s="1"/>
  <c r="G5" i="35"/>
  <c r="P14" i="34"/>
  <c r="P13" i="34"/>
  <c r="P12" i="34"/>
  <c r="P11" i="34"/>
  <c r="P10" i="34"/>
  <c r="P9" i="34"/>
  <c r="P8" i="34"/>
  <c r="P7" i="34"/>
  <c r="P6" i="34"/>
  <c r="P5" i="34"/>
  <c r="Q5" i="34" s="1"/>
  <c r="O5" i="34"/>
  <c r="G5" i="34"/>
  <c r="O27" i="11"/>
  <c r="O26" i="11"/>
  <c r="O25" i="11"/>
  <c r="O24" i="11"/>
  <c r="O23" i="11"/>
  <c r="O22" i="11"/>
  <c r="O21" i="11"/>
  <c r="O7" i="11"/>
  <c r="O8" i="11"/>
  <c r="O9" i="11"/>
  <c r="O10" i="11"/>
  <c r="O11" i="11"/>
  <c r="O12" i="11"/>
  <c r="O13" i="11"/>
  <c r="O14" i="11"/>
  <c r="O15" i="11"/>
  <c r="O16" i="11"/>
  <c r="O17" i="11"/>
  <c r="K7" i="11"/>
  <c r="K8" i="11"/>
  <c r="K9" i="11"/>
  <c r="K10" i="11"/>
  <c r="K11" i="11"/>
  <c r="K12" i="11"/>
  <c r="K13" i="11"/>
  <c r="K14" i="11"/>
  <c r="K15" i="11"/>
  <c r="K16" i="11"/>
  <c r="K17" i="11"/>
  <c r="K6" i="11"/>
  <c r="H7" i="11"/>
  <c r="H8" i="11"/>
  <c r="H9" i="11"/>
  <c r="H10" i="11"/>
  <c r="H11" i="11"/>
  <c r="H12" i="11"/>
  <c r="H13" i="11"/>
  <c r="H14" i="11"/>
  <c r="H15" i="11"/>
  <c r="H16" i="11"/>
  <c r="H17" i="11"/>
  <c r="H6" i="11"/>
  <c r="F6" i="9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F6" i="6"/>
  <c r="H5" i="6"/>
  <c r="F5" i="6"/>
  <c r="K12" i="1"/>
  <c r="Z20" i="11" l="1"/>
  <c r="Y20" i="11"/>
  <c r="X20" i="11"/>
  <c r="W20" i="11"/>
  <c r="V20" i="11"/>
  <c r="U20" i="11"/>
  <c r="Q20" i="27" l="1"/>
  <c r="Q19" i="27"/>
  <c r="Q18" i="27"/>
  <c r="Q17" i="27"/>
  <c r="Q16" i="27"/>
  <c r="Q15" i="27"/>
  <c r="Q14" i="27"/>
  <c r="Q13" i="27"/>
  <c r="Q12" i="27"/>
  <c r="Q11" i="27"/>
  <c r="Q10" i="27"/>
  <c r="Q9" i="27"/>
  <c r="Q8" i="27"/>
  <c r="Q7" i="27"/>
  <c r="Q6" i="27"/>
  <c r="S5" i="27"/>
  <c r="M7" i="15"/>
  <c r="O13" i="14"/>
  <c r="O12" i="14"/>
  <c r="O11" i="14"/>
  <c r="O9" i="14"/>
  <c r="M7" i="14"/>
  <c r="O14" i="14" l="1"/>
  <c r="O10" i="14"/>
  <c r="O8" i="14"/>
  <c r="O7" i="14"/>
  <c r="N7" i="15"/>
  <c r="O7" i="12" l="1"/>
  <c r="O8" i="12"/>
  <c r="O9" i="12"/>
  <c r="O10" i="12"/>
  <c r="O11" i="12"/>
  <c r="O12" i="12"/>
  <c r="O13" i="12"/>
  <c r="O14" i="12"/>
  <c r="O15" i="12"/>
  <c r="O16" i="12"/>
  <c r="O20" i="12"/>
  <c r="O21" i="12"/>
  <c r="O22" i="12"/>
  <c r="O23" i="12"/>
  <c r="O24" i="12"/>
  <c r="O25" i="12"/>
  <c r="O26" i="12"/>
  <c r="O27" i="12"/>
  <c r="O31" i="12"/>
  <c r="Z5" i="12"/>
  <c r="Y5" i="12"/>
  <c r="X5" i="12"/>
  <c r="W5" i="12"/>
  <c r="V5" i="12"/>
  <c r="U5" i="12"/>
  <c r="O6" i="12"/>
  <c r="O5" i="11"/>
  <c r="V4" i="11"/>
  <c r="W4" i="11"/>
  <c r="X4" i="11"/>
  <c r="Y4" i="11"/>
  <c r="Z4" i="11"/>
  <c r="U4" i="11"/>
  <c r="M7" i="8"/>
  <c r="M8" i="8"/>
  <c r="M9" i="8"/>
  <c r="M10" i="8"/>
  <c r="M13" i="8"/>
  <c r="M16" i="8"/>
  <c r="L12" i="1"/>
  <c r="M12" i="1" s="1"/>
  <c r="M31" i="6" l="1"/>
  <c r="M30" i="6"/>
  <c r="M29" i="6"/>
  <c r="M28" i="6"/>
  <c r="M26" i="6"/>
  <c r="M25" i="6"/>
  <c r="M20" i="6"/>
  <c r="M19" i="6"/>
  <c r="M18" i="6"/>
  <c r="M17" i="6"/>
  <c r="M16" i="6"/>
  <c r="M15" i="6"/>
  <c r="M14" i="6"/>
  <c r="M13" i="6"/>
  <c r="M11" i="6"/>
  <c r="M10" i="6"/>
  <c r="M9" i="6"/>
  <c r="M8" i="6"/>
  <c r="M5" i="6"/>
  <c r="Q12" i="21" l="1"/>
  <c r="Q11" i="21"/>
  <c r="Q10" i="21"/>
  <c r="Q9" i="21"/>
  <c r="Q8" i="21"/>
  <c r="Q16" i="22"/>
  <c r="Q15" i="22"/>
  <c r="Q14" i="22"/>
  <c r="Q13" i="22"/>
  <c r="Q12" i="22"/>
  <c r="Q11" i="22"/>
  <c r="Q10" i="22"/>
  <c r="Q9" i="22"/>
  <c r="Q16" i="23"/>
  <c r="Q15" i="23"/>
  <c r="Q14" i="23"/>
  <c r="Q13" i="23"/>
  <c r="Q12" i="23"/>
  <c r="Q11" i="23"/>
  <c r="Q10" i="23"/>
  <c r="Q9" i="23"/>
  <c r="L9" i="28" l="1"/>
  <c r="L8" i="28"/>
  <c r="L7" i="28"/>
  <c r="Q7" i="26"/>
  <c r="S29" i="26"/>
  <c r="S30" i="26" l="1"/>
  <c r="S31" i="26"/>
  <c r="S27" i="11"/>
  <c r="S26" i="11"/>
  <c r="S25" i="11"/>
  <c r="S24" i="11"/>
  <c r="S23" i="11"/>
  <c r="S22" i="11"/>
  <c r="S21" i="11"/>
  <c r="N34" i="6"/>
  <c r="N33" i="6"/>
  <c r="N32" i="6"/>
  <c r="N31" i="6"/>
  <c r="N30" i="6"/>
  <c r="N29" i="6"/>
  <c r="N28" i="6"/>
  <c r="N27" i="6"/>
  <c r="N26" i="6"/>
  <c r="N25" i="6"/>
  <c r="N24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K17" i="3"/>
  <c r="K16" i="3"/>
  <c r="K15" i="3"/>
  <c r="K13" i="3"/>
  <c r="K12" i="3"/>
  <c r="K11" i="3"/>
  <c r="K10" i="3"/>
  <c r="K9" i="3"/>
  <c r="P23" i="18" l="1"/>
  <c r="P22" i="18"/>
  <c r="P21" i="18"/>
  <c r="P20" i="18"/>
  <c r="Q20" i="18" s="1"/>
  <c r="P19" i="18"/>
  <c r="P18" i="18"/>
  <c r="P17" i="18"/>
  <c r="P16" i="18"/>
  <c r="P15" i="18"/>
  <c r="P14" i="18"/>
  <c r="Q14" i="18" s="1"/>
  <c r="P13" i="18"/>
  <c r="P12" i="18"/>
  <c r="P11" i="18"/>
  <c r="P10" i="18"/>
  <c r="P9" i="18"/>
  <c r="P6" i="18" l="1"/>
  <c r="P7" i="18"/>
  <c r="P8" i="18"/>
  <c r="H27" i="13" l="1"/>
  <c r="H26" i="13"/>
  <c r="P27" i="13"/>
  <c r="P26" i="13"/>
  <c r="O6" i="8" l="1"/>
  <c r="R7" i="21" l="1"/>
  <c r="P5" i="19" l="1"/>
  <c r="Q5" i="19" s="1"/>
  <c r="H5" i="19" l="1"/>
  <c r="I5" i="19" s="1"/>
  <c r="P5" i="18"/>
  <c r="Q5" i="18" s="1"/>
  <c r="H5" i="18"/>
  <c r="I5" i="18" s="1"/>
  <c r="H5" i="13"/>
  <c r="P5" i="13"/>
  <c r="Q5" i="13" s="1"/>
  <c r="N7" i="9" l="1"/>
  <c r="N8" i="9"/>
  <c r="N9" i="9"/>
  <c r="N10" i="9"/>
  <c r="N11" i="9"/>
  <c r="N12" i="9"/>
  <c r="N13" i="9"/>
  <c r="N14" i="9"/>
  <c r="M6" i="8"/>
  <c r="R8" i="3"/>
  <c r="T10" i="3"/>
  <c r="T11" i="3"/>
  <c r="T12" i="3"/>
  <c r="T13" i="3"/>
  <c r="T14" i="3"/>
  <c r="T15" i="3"/>
  <c r="T16" i="3"/>
  <c r="T17" i="3"/>
  <c r="T18" i="3"/>
  <c r="O8" i="1"/>
  <c r="O9" i="1"/>
  <c r="N10" i="1"/>
  <c r="N11" i="1"/>
  <c r="O12" i="1"/>
  <c r="O7" i="1"/>
  <c r="M8" i="1"/>
  <c r="M9" i="1"/>
  <c r="M7" i="1"/>
  <c r="O8" i="33"/>
  <c r="M8" i="28"/>
  <c r="M9" i="28"/>
  <c r="M10" i="28"/>
  <c r="M7" i="28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7" i="26"/>
  <c r="S28" i="26"/>
  <c r="N8" i="24"/>
  <c r="S6" i="26" l="1"/>
  <c r="T9" i="3" l="1"/>
  <c r="T8" i="3"/>
  <c r="R6" i="26"/>
  <c r="O8" i="24"/>
  <c r="N12" i="24"/>
  <c r="N11" i="24"/>
  <c r="N6" i="9"/>
  <c r="N10" i="24" l="1"/>
  <c r="N9" i="24"/>
  <c r="O8" i="20"/>
  <c r="M8" i="20"/>
  <c r="R8" i="23"/>
  <c r="S8" i="23"/>
  <c r="T8" i="23" s="1"/>
  <c r="R8" i="22"/>
  <c r="S8" i="22"/>
  <c r="T8" i="22" s="1"/>
  <c r="S5" i="11"/>
  <c r="N12" i="11"/>
  <c r="N14" i="11"/>
  <c r="N10" i="11"/>
  <c r="N17" i="11"/>
  <c r="N16" i="11"/>
  <c r="N9" i="11"/>
  <c r="N11" i="11"/>
  <c r="N7" i="11"/>
  <c r="N8" i="11"/>
  <c r="N13" i="11"/>
  <c r="N6" i="11"/>
  <c r="N15" i="11"/>
  <c r="S6" i="12" l="1"/>
  <c r="T6" i="12" s="1"/>
</calcChain>
</file>

<file path=xl/sharedStrings.xml><?xml version="1.0" encoding="utf-8"?>
<sst xmlns="http://schemas.openxmlformats.org/spreadsheetml/2006/main" count="1017" uniqueCount="292">
  <si>
    <t>№ п/п</t>
  </si>
  <si>
    <t>Наименование</t>
  </si>
  <si>
    <t>Абс.</t>
  </si>
  <si>
    <t>Пок.</t>
  </si>
  <si>
    <t>Смертность</t>
  </si>
  <si>
    <t>Рождаемость</t>
  </si>
  <si>
    <t>Смертность в трудоспособном возрасте</t>
  </si>
  <si>
    <t>Перинатальная смертность</t>
  </si>
  <si>
    <t>Младенческая смертность</t>
  </si>
  <si>
    <t>Естественный прирост</t>
  </si>
  <si>
    <t>Общее количество населения</t>
  </si>
  <si>
    <t>Трудоспособное население</t>
  </si>
  <si>
    <t>из общего количества:</t>
  </si>
  <si>
    <t>взрослые 18 лет и старше</t>
  </si>
  <si>
    <t>подростки 15-17 лет</t>
  </si>
  <si>
    <t>дети от 0 до 14 лет</t>
  </si>
  <si>
    <t>Родилось живыми</t>
  </si>
  <si>
    <t>Родилось мертвыми</t>
  </si>
  <si>
    <t>умерло в первые 0-6 дней</t>
  </si>
  <si>
    <t>Динамика причин смертности (на 1000 населения)</t>
  </si>
  <si>
    <t>Болезни системы кровообращения</t>
  </si>
  <si>
    <t>Злокачественные новообразования</t>
  </si>
  <si>
    <t>Травмы, отравления</t>
  </si>
  <si>
    <t>Болезни органов пищеварения</t>
  </si>
  <si>
    <t>Болезни органов дыхания:</t>
  </si>
  <si>
    <t>в т.ч. пневмония</t>
  </si>
  <si>
    <t>Инфекционные заболевания</t>
  </si>
  <si>
    <t>В т. ч. туберкулёз</t>
  </si>
  <si>
    <t>Болезни мочеполовой системы</t>
  </si>
  <si>
    <t>Прочие</t>
  </si>
  <si>
    <t>Уровень смертности от болезней системы кровообращения (на 1000 населения)</t>
  </si>
  <si>
    <t>Всего в т. ч.:</t>
  </si>
  <si>
    <t>Цереброваскулярные болезни</t>
  </si>
  <si>
    <t>ИБС</t>
  </si>
  <si>
    <t>Уровень смертности от травм, отравлений и несчастных случаев (на 1000 населения)</t>
  </si>
  <si>
    <t>Всего:</t>
  </si>
  <si>
    <t>Травмы</t>
  </si>
  <si>
    <t>Уровень смертности от злокачественных образований (на 1000 населения)</t>
  </si>
  <si>
    <t>Уровень смертности в трудоспособном возрасте (на 1000 населения)</t>
  </si>
  <si>
    <t>Динамика смертности детей до 1 года</t>
  </si>
  <si>
    <t>Смертность всего в т.ч.:</t>
  </si>
  <si>
    <t>Травмы, несчастные случаи</t>
  </si>
  <si>
    <t>Болезни органов дыхания</t>
  </si>
  <si>
    <t>Болезни крови</t>
  </si>
  <si>
    <t>Болезни ЦНС</t>
  </si>
  <si>
    <t>ВПС</t>
  </si>
  <si>
    <t>Болезни специфические для перинатального периода</t>
  </si>
  <si>
    <t>Смертность общая в т. ч.</t>
  </si>
  <si>
    <t>Детей до 1 года</t>
  </si>
  <si>
    <t>Уровень общей заболеваемости населения (на 1000 населения)</t>
  </si>
  <si>
    <t>Заболеваемость всего в т.ч.</t>
  </si>
  <si>
    <t>Болезни эндокринной системы</t>
  </si>
  <si>
    <t>Новообразования</t>
  </si>
  <si>
    <t xml:space="preserve">Динамика острой заболеваемости населения </t>
  </si>
  <si>
    <t>Болезни кожи и п/к клетчатки</t>
  </si>
  <si>
    <t>Наименование классов и отдельных болезней</t>
  </si>
  <si>
    <t>Зарегистрировано больных с данным заболеванием</t>
  </si>
  <si>
    <t>Темп изменения в %</t>
  </si>
  <si>
    <t>Всего</t>
  </si>
  <si>
    <t xml:space="preserve">Новообразования 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</si>
  <si>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</si>
  <si>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</si>
  <si>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психические расстройства и расстройства поведения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</si>
  <si>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</si>
  <si>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</si>
  <si>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</si>
  <si>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</si>
  <si>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</si>
  <si>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</si>
  <si>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</si>
  <si>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</si>
  <si>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</si>
  <si>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беременность, роды и послеродовой период</t>
  </si>
  <si>
    <t>отдельные состояния, возникающие в перинатальном периоде</t>
  </si>
  <si>
    <t>врождённые аномалии (пороки развития) деформации и хромосомные нарушения</t>
  </si>
  <si>
    <t xml:space="preserve">из них: врождённые аномалии развития нервной системы </t>
  </si>
  <si>
    <t>Врождённые аномалии глаза</t>
  </si>
  <si>
    <t>врождённые аномалии системы кровообращения</t>
  </si>
  <si>
    <t xml:space="preserve">Врожденные аномалии тела и шейки матки, другие врождённые аномалии женских половых органов </t>
  </si>
  <si>
    <t>Неопределённость пола и псевдогермафродитизм</t>
  </si>
  <si>
    <t>Врождённые деформации бедра</t>
  </si>
  <si>
    <t>Врождённый ихтиоз</t>
  </si>
  <si>
    <t xml:space="preserve">Нейрофиброматоз </t>
  </si>
  <si>
    <t>синдром Дауна</t>
  </si>
  <si>
    <t>симптомы, признаки, отклонения от нормы, выявленные при клинических и лабораторных исследованиях, не классифицированные в других рубриках</t>
  </si>
  <si>
    <t>травмы, отравления и некоторые другие последствия воздействия внешних причин</t>
  </si>
  <si>
    <t>Число абортов</t>
  </si>
  <si>
    <t>Число родов</t>
  </si>
  <si>
    <t>Всего беременных поступило под наблюдение в году</t>
  </si>
  <si>
    <t>Общее количество женщин фертильного возраста</t>
  </si>
  <si>
    <t>Женщин фертильного возраста</t>
  </si>
  <si>
    <t>Заболевания возникающие во время беременности (на 1000 женщин фертильного возраста)</t>
  </si>
  <si>
    <t>Отёки, протеинурия и гипертензивные расстройства</t>
  </si>
  <si>
    <t>Сахарный диабет</t>
  </si>
  <si>
    <t>Венозные осложнения</t>
  </si>
  <si>
    <t>Болезни нервной системы</t>
  </si>
  <si>
    <t xml:space="preserve">Заболеваемость взрослых от 18 лет  и старше </t>
  </si>
  <si>
    <t>Динамика травм</t>
  </si>
  <si>
    <t>Уд.вес</t>
  </si>
  <si>
    <t>Переломы костей верхних конечностей</t>
  </si>
  <si>
    <t>Переломы костей нижних конечностей</t>
  </si>
  <si>
    <t>Внутричерепные травмы</t>
  </si>
  <si>
    <t>Термические и химические ожоги</t>
  </si>
  <si>
    <t>Переломы позвоночника, костей туловища</t>
  </si>
  <si>
    <t>Динамика травм у детей (от 0 до 17 лет)</t>
  </si>
  <si>
    <t>Отравления лекарственными средствами</t>
  </si>
  <si>
    <t xml:space="preserve">Динамика травм у взрослых </t>
  </si>
  <si>
    <t>Переломы черепа и лицевых костей</t>
  </si>
  <si>
    <t>Травмы глаза и глазницы</t>
  </si>
  <si>
    <t>СМУ</t>
  </si>
  <si>
    <t>Общая заболеваемость</t>
  </si>
  <si>
    <t>Острая заболеваемость</t>
  </si>
  <si>
    <t>Смертность в т. ч.</t>
  </si>
  <si>
    <t>-в трудоспособном возрасте</t>
  </si>
  <si>
    <t>- в 1 год вставшие на учет</t>
  </si>
  <si>
    <t>Уровень злокачественных новообразований (на 100 000 населения)</t>
  </si>
  <si>
    <t>ЗН молочной железы</t>
  </si>
  <si>
    <t>ЗН кожи</t>
  </si>
  <si>
    <t>ЗН тела матки</t>
  </si>
  <si>
    <t>ЗН шейки матки</t>
  </si>
  <si>
    <t>ЗН ободочной кишки</t>
  </si>
  <si>
    <t>ЗН предстательной железы</t>
  </si>
  <si>
    <t>ЗН желудка</t>
  </si>
  <si>
    <t>ЗН щитовидной железы</t>
  </si>
  <si>
    <t>ЗН яичников</t>
  </si>
  <si>
    <t>ЗН мочевого пузыря</t>
  </si>
  <si>
    <t>ЗН гортани</t>
  </si>
  <si>
    <t>ЗН печени</t>
  </si>
  <si>
    <t>ЗН пищевода</t>
  </si>
  <si>
    <t>ЗН поджелудочной железы</t>
  </si>
  <si>
    <t>Уд. вес</t>
  </si>
  <si>
    <t>Злокачественные лимфомы</t>
  </si>
  <si>
    <t>Динамика острой заболеваемости ЗНО в трудоспособном возрасте</t>
  </si>
  <si>
    <t>ЗН лёгкого, бронхов, трахеи</t>
  </si>
  <si>
    <t>ЗН женской молочной железы</t>
  </si>
  <si>
    <t>ЗН крови и лимфат.системы</t>
  </si>
  <si>
    <t>ЗН ротоглотки</t>
  </si>
  <si>
    <r>
      <t>ЗН</t>
    </r>
    <r>
      <rPr>
        <sz val="10"/>
        <color rgb="FFFFFFFF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предстательной</t>
    </r>
    <r>
      <rPr>
        <sz val="10"/>
        <color rgb="FFFFFFFF"/>
        <rFont val="Times New Roman"/>
        <family val="1"/>
        <charset val="204"/>
      </rPr>
      <t>_</t>
    </r>
    <r>
      <rPr>
        <sz val="10"/>
        <color theme="1"/>
        <rFont val="Times New Roman"/>
        <family val="1"/>
        <charset val="204"/>
      </rPr>
      <t>железы</t>
    </r>
  </si>
  <si>
    <t>Меланома кожи</t>
  </si>
  <si>
    <t>ЗН яичника</t>
  </si>
  <si>
    <t>Структура ЗНО по стадиям</t>
  </si>
  <si>
    <t>1-2 ст.</t>
  </si>
  <si>
    <t>3 ст.</t>
  </si>
  <si>
    <t>4 ст.</t>
  </si>
  <si>
    <t>Темп изменения, %</t>
  </si>
  <si>
    <t>Темп изменения к СМУ, %</t>
  </si>
  <si>
    <t>Заболеваемость дети от 15 до 17 лет включительно (показатель на 1000)</t>
  </si>
  <si>
    <t>В т.ч. впервые установленным  диагнозом</t>
  </si>
  <si>
    <t>Всего, в том числе:</t>
  </si>
  <si>
    <t xml:space="preserve">некоторые инфекционные и паразитарные болезни </t>
  </si>
  <si>
    <t>Динамика инвалидности населения (показатель на 10 000)</t>
  </si>
  <si>
    <t>пок.</t>
  </si>
  <si>
    <t>Динамика острой заболеваемости ЗНО (на 100000 населения)</t>
  </si>
  <si>
    <t>Общая</t>
  </si>
  <si>
    <t>Первичная</t>
  </si>
  <si>
    <t>Отравления</t>
  </si>
  <si>
    <t>Таблица № 2.1.1.</t>
  </si>
  <si>
    <t xml:space="preserve"> Таблица № 2.1.2.</t>
  </si>
  <si>
    <t>Таблица № 2.1.3.</t>
  </si>
  <si>
    <t xml:space="preserve"> Таблица № 2.1.4.</t>
  </si>
  <si>
    <t>Таблица № 2.1.6.</t>
  </si>
  <si>
    <t>Таблица № 2.1.5.</t>
  </si>
  <si>
    <t xml:space="preserve"> Таблица № 2.1.7.</t>
  </si>
  <si>
    <t>Таблица № 2.1.8.</t>
  </si>
  <si>
    <t>Таблица № 2.2.1.</t>
  </si>
  <si>
    <t>Таблица № 2.2.2.</t>
  </si>
  <si>
    <t xml:space="preserve">    Таблица № 2.3.1.</t>
  </si>
  <si>
    <t>Таблица № 2.3.2.</t>
  </si>
  <si>
    <t>Таблица № 2.3.5.</t>
  </si>
  <si>
    <t>Таблица № 2.4.12.</t>
  </si>
  <si>
    <t xml:space="preserve"> Таблица № 2.5.1.</t>
  </si>
  <si>
    <t>Таблица № 2.11.1.</t>
  </si>
  <si>
    <t>Таблица № 2.8.1.</t>
  </si>
  <si>
    <t>Таблица № 2.8.2.</t>
  </si>
  <si>
    <t xml:space="preserve"> Таблица № 2.8.3.</t>
  </si>
  <si>
    <t>Таблица № 2.7.1.</t>
  </si>
  <si>
    <t>Таблица № 2.7.3.</t>
  </si>
  <si>
    <t>Таблица № 2.7.5.</t>
  </si>
  <si>
    <t>Таблица № 2.9.1.</t>
  </si>
  <si>
    <t>Зарегистрировано больных с данным заболеванием всего</t>
  </si>
  <si>
    <t>Заболеваемость дети от 0 до 14 лет включительно (показатель на 1000)</t>
  </si>
  <si>
    <t>ЗН прямой кишки, ректосигмовидного соед., ануса</t>
  </si>
  <si>
    <t>Отдельные состояния</t>
  </si>
  <si>
    <t>2018 г</t>
  </si>
  <si>
    <t>2019 г</t>
  </si>
  <si>
    <t>Таблица № 2.7.4.</t>
  </si>
  <si>
    <t>Инфаркт мозга</t>
  </si>
  <si>
    <t>Острый инфаркт миокарда</t>
  </si>
  <si>
    <t>Всего, в т .ч.</t>
  </si>
  <si>
    <t>Дети до 14 лет включительно</t>
  </si>
  <si>
    <t>Подростки 15 – 17 лет</t>
  </si>
  <si>
    <t>ЗН трахеи, бронхов, лёгкого</t>
  </si>
  <si>
    <t>ЗН прямой кишки, ректосигмоидного соединения, ануса</t>
  </si>
  <si>
    <t>ЗН почки</t>
  </si>
  <si>
    <t>-</t>
  </si>
  <si>
    <t>ЗН полости рта и глотки</t>
  </si>
  <si>
    <t>ЗН костей и мягких тканей</t>
  </si>
  <si>
    <t>Лейкимии</t>
  </si>
  <si>
    <t>Другие новообразования кожи</t>
  </si>
  <si>
    <t>ЗН губы</t>
  </si>
  <si>
    <t>Всего, в т.ч.</t>
  </si>
  <si>
    <t>- в т.ч. повешенья</t>
  </si>
  <si>
    <t>- в т.ч. ожоги, отморожения</t>
  </si>
  <si>
    <t>- в т.ч. алкогольные</t>
  </si>
  <si>
    <t>Смертность общая в т.ч.</t>
  </si>
  <si>
    <t>- в т.ч. туберкулёз</t>
  </si>
  <si>
    <t>Болезни органов    дыхания</t>
  </si>
  <si>
    <t>- в т.ч. пневмония</t>
  </si>
  <si>
    <t>Заболеваемость всего, в т.ч.</t>
  </si>
  <si>
    <t>Б-ни костно-мышечной системы</t>
  </si>
  <si>
    <t>Б-ни системы кровообращения</t>
  </si>
  <si>
    <t>Травмы, отравления и некоторые другие последствия воздействия внешних причин</t>
  </si>
  <si>
    <t>Болезни глаза</t>
  </si>
  <si>
    <t>Б-ни уха и сосцевидного отростка</t>
  </si>
  <si>
    <t>Болезни  кожи  и  п/к  клетчатки</t>
  </si>
  <si>
    <t>Инфекц. и паразитарные болезни</t>
  </si>
  <si>
    <t>Психические расстройства и расстройства поведения</t>
  </si>
  <si>
    <t>Беременность, роды и послеродовый период</t>
  </si>
  <si>
    <t>Б-ни крови, кроветворных органов</t>
  </si>
  <si>
    <t>Симптомы, признаки и отклонения от нормы, выявленные при клинических и лабораторных исследованиях</t>
  </si>
  <si>
    <t>Отдельные состояния возникающие в перинатальном периоде</t>
  </si>
  <si>
    <t>Врождённые аномалии (пороки развития), деформации и хромосомные нарушения</t>
  </si>
  <si>
    <t>Беременность, роды и послеродовый  период</t>
  </si>
  <si>
    <t>Симптомы, признаки и отклонения от норм, выявленные при клинических и лабораторных исследованиях</t>
  </si>
  <si>
    <t>Отдельные состояния, возникающие в перинатальном периоде</t>
  </si>
  <si>
    <t>в т.ч. со сроком беременности до 12 недель</t>
  </si>
  <si>
    <t>Наблюдение в  других учреждениях</t>
  </si>
  <si>
    <t>в т.ч. преждевременные роды</t>
  </si>
  <si>
    <t>Число закончивших беременность в срок</t>
  </si>
  <si>
    <t>- в т.ч. первобеременных</t>
  </si>
  <si>
    <t>-в т.ч. лиц от 15 до 19 лет</t>
  </si>
  <si>
    <t>Всего женщин, в т.ч. с заболеваниями:</t>
  </si>
  <si>
    <t>Анемия</t>
  </si>
  <si>
    <t>Преэклампсия, эклампсия</t>
  </si>
  <si>
    <t>Болезни щитовидной железы</t>
  </si>
  <si>
    <t>Угроза прерывания беременности</t>
  </si>
  <si>
    <t>Количество женщин фертильного возраста</t>
  </si>
  <si>
    <r>
      <t>некоторые инфекционные и паразитарные болезни</t>
    </r>
    <r>
      <rPr>
        <sz val="11"/>
        <color theme="1"/>
        <rFont val="Times New Roman"/>
        <family val="1"/>
        <charset val="204"/>
      </rPr>
      <t xml:space="preserve"> </t>
    </r>
  </si>
  <si>
    <r>
      <t>некоторые инфекционные и паразитарные болезни</t>
    </r>
    <r>
      <rPr>
        <sz val="9"/>
        <color theme="1"/>
        <rFont val="Times New Roman"/>
        <family val="1"/>
        <charset val="204"/>
      </rPr>
      <t xml:space="preserve"> </t>
    </r>
  </si>
  <si>
    <t>Травма глаза и глазницы</t>
  </si>
  <si>
    <t>Инвалидность общая (18 лет и старше), в т. ч.</t>
  </si>
  <si>
    <t>- трудоспособного населения</t>
  </si>
  <si>
    <t>Инвалидность первичная (18 лет и старше), в т.ч.</t>
  </si>
  <si>
    <t>Инвалидность детского населения общая  ( от 0 до 17 лет), в т.ч.</t>
  </si>
  <si>
    <t>- инвалидность первичная</t>
  </si>
  <si>
    <t>2020 г</t>
  </si>
  <si>
    <t>2021 год</t>
  </si>
  <si>
    <t>2021 г</t>
  </si>
  <si>
    <t>0-14</t>
  </si>
  <si>
    <t>15-17</t>
  </si>
  <si>
    <t>18 лет и старше</t>
  </si>
  <si>
    <t>COVID-19</t>
  </si>
  <si>
    <t>Динамика численности населения на территории городского округа Волчанск</t>
  </si>
  <si>
    <t>Динамика естественного движения населения по г.Волчанск</t>
  </si>
  <si>
    <t>продолжение таблицы</t>
  </si>
  <si>
    <r>
      <t>Контингенты беременных проживающих в г.Волчанск</t>
    </r>
    <r>
      <rPr>
        <sz val="11"/>
        <color theme="1"/>
        <rFont val="Times New Roman"/>
        <family val="1"/>
        <charset val="204"/>
      </rPr>
      <t xml:space="preserve"> (на 1000 женщин фертильного возраста)</t>
    </r>
  </si>
  <si>
    <t>Заболеваемость врождёнными пороками развития населения ГО Волчанск</t>
  </si>
  <si>
    <t>2022 год</t>
  </si>
  <si>
    <t>2022 г</t>
  </si>
  <si>
    <t>Заболеваемость ВПР дети от 0 до 14 лет включительно (показатель на 1000)</t>
  </si>
  <si>
    <t>Заболеваемость ВПР дети от 15 до 17 лет включительно (показатель на 1000)</t>
  </si>
  <si>
    <t>Заболеваемость ВПР 18 лет и старше включительно (показатель на 1000)</t>
  </si>
  <si>
    <t>рост в 4 раза</t>
  </si>
  <si>
    <t>рост в 3 раза</t>
  </si>
  <si>
    <t>Темп изменения, раз</t>
  </si>
  <si>
    <t>рост в 2,5 раз</t>
  </si>
  <si>
    <t>рост в 2,0 раза</t>
  </si>
  <si>
    <t>Темп изменения к СМУ %</t>
  </si>
  <si>
    <t>общая</t>
  </si>
  <si>
    <t>острая</t>
  </si>
  <si>
    <t>Темп измененияк СМУ, %</t>
  </si>
  <si>
    <t>рост в 2,4 раз</t>
  </si>
  <si>
    <t>рост в 2,1 раз</t>
  </si>
  <si>
    <t>рост в 3,0 раз</t>
  </si>
  <si>
    <t>рост в 4,6 раз</t>
  </si>
  <si>
    <t>рост в 2,2 раз</t>
  </si>
  <si>
    <t>рост в 2 раза</t>
  </si>
  <si>
    <t>рост в 2,7 раз</t>
  </si>
  <si>
    <t>рост в 2,9 раз</t>
  </si>
  <si>
    <t>рост в 2,8 раз</t>
  </si>
  <si>
    <t>рост в 3,2 раз</t>
  </si>
  <si>
    <t>первичная</t>
  </si>
  <si>
    <t>рост в 2,5 раза</t>
  </si>
  <si>
    <t>рост в 2,3 раза</t>
  </si>
  <si>
    <t>Таблица № 2.9.4.</t>
  </si>
  <si>
    <t>Таблица № 2.9.3.</t>
  </si>
  <si>
    <t>Таблица № 2.9.2.</t>
  </si>
  <si>
    <t>рост в 3,8 раз</t>
  </si>
  <si>
    <t>рост в 7 раз</t>
  </si>
  <si>
    <t>рост в 4,4 раз</t>
  </si>
  <si>
    <t>рост в 3,1 раз</t>
  </si>
  <si>
    <t>рост в 5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</si>
</sst>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/>
    <xf numFmtId="164" fontId="5" fillId="0" borderId="0" xfId="0" applyNumberFormat="1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Continuous"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/>
    <xf numFmtId="0" fontId="3" fillId="0" borderId="1" xfId="0" applyFon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vertical="center" wrapText="1"/>
    </xf>
    <xf numFmtId="0" fontId="5" fillId="0" borderId="1" xfId="0" applyFont="1" applyBorder="1"/>
    <xf numFmtId="0" fontId="1" fillId="0" borderId="11" xfId="0" applyFont="1" applyBorder="1" applyAlignment="1">
      <alignment horizontal="center" vertical="top" wrapText="1"/>
    </xf>
    <xf numFmtId="0" fontId="12" fillId="0" borderId="1" xfId="0" applyFont="1" applyBorder="1"/>
    <xf numFmtId="0" fontId="17" fillId="0" borderId="0" xfId="0" applyFont="1" applyAlignment="1">
      <alignment horizontal="centerContinuous"/>
    </xf>
    <xf numFmtId="0" fontId="16" fillId="0" borderId="1" xfId="0" applyFont="1" applyBorder="1"/>
    <xf numFmtId="2" fontId="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Border="1"/>
    <xf numFmtId="0" fontId="0" fillId="0" borderId="1" xfId="0" applyBorder="1"/>
    <xf numFmtId="0" fontId="18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zoomScale="180" zoomScaleNormal="100" zoomScaleSheetLayoutView="180" workbookViewId="0">
      <selection activeCell="C16" sqref="C16"/>
    </sheetView>
  </sheetViews>
  <sheetFormatPr defaultColWidth="9.140625" defaultRowHeight="15" x14ac:dyDescent="0.25"/>
  <cols>
    <col min="1" max="1" width="34" style="6" customWidth="1"/>
    <col min="2" max="16384" width="9.140625" style="6"/>
  </cols>
  <sheetData>
    <row r="1" spans="1:6" x14ac:dyDescent="0.25">
      <c r="A1" s="33"/>
      <c r="B1" s="33"/>
      <c r="C1" s="33"/>
      <c r="D1" s="33"/>
      <c r="E1" s="33"/>
      <c r="F1" s="34" t="s">
        <v>156</v>
      </c>
    </row>
    <row r="2" spans="1:6" ht="29.25" x14ac:dyDescent="0.25">
      <c r="A2" s="38" t="s">
        <v>252</v>
      </c>
      <c r="B2" s="35"/>
      <c r="C2" s="35"/>
      <c r="D2" s="35"/>
      <c r="E2" s="35"/>
      <c r="F2" s="35"/>
    </row>
    <row r="3" spans="1:6" ht="31.5" x14ac:dyDescent="0.25">
      <c r="A3" s="59"/>
      <c r="B3" s="91" t="s">
        <v>246</v>
      </c>
      <c r="C3" s="91" t="s">
        <v>257</v>
      </c>
    </row>
    <row r="4" spans="1:6" ht="15.75" x14ac:dyDescent="0.25">
      <c r="A4" s="61" t="s">
        <v>10</v>
      </c>
      <c r="B4" s="91">
        <v>8696</v>
      </c>
      <c r="C4" s="36">
        <v>8571</v>
      </c>
    </row>
    <row r="5" spans="1:6" ht="15.75" x14ac:dyDescent="0.25">
      <c r="A5" s="61" t="s">
        <v>11</v>
      </c>
      <c r="B5" s="91">
        <v>4453</v>
      </c>
      <c r="C5" s="36">
        <v>4511</v>
      </c>
    </row>
    <row r="6" spans="1:6" ht="15.75" x14ac:dyDescent="0.25">
      <c r="A6" s="61" t="s">
        <v>12</v>
      </c>
      <c r="B6" s="92"/>
      <c r="C6" s="36"/>
    </row>
    <row r="7" spans="1:6" ht="15.75" x14ac:dyDescent="0.25">
      <c r="A7" s="61" t="s">
        <v>13</v>
      </c>
      <c r="B7" s="91">
        <v>6729</v>
      </c>
      <c r="C7" s="36">
        <v>6664</v>
      </c>
    </row>
    <row r="8" spans="1:6" ht="15.75" x14ac:dyDescent="0.25">
      <c r="A8" s="61" t="s">
        <v>14</v>
      </c>
      <c r="B8" s="91">
        <v>300</v>
      </c>
      <c r="C8" s="36">
        <v>302</v>
      </c>
    </row>
    <row r="9" spans="1:6" ht="15.75" x14ac:dyDescent="0.25">
      <c r="A9" s="61" t="s">
        <v>15</v>
      </c>
      <c r="B9" s="91">
        <v>1667</v>
      </c>
      <c r="C9" s="36">
        <v>1605</v>
      </c>
    </row>
    <row r="10" spans="1:6" hidden="1" x14ac:dyDescent="0.25">
      <c r="A10" s="90" t="s">
        <v>16</v>
      </c>
      <c r="B10" s="90"/>
      <c r="C10" s="90"/>
      <c r="D10" s="90"/>
      <c r="E10" s="90"/>
      <c r="F10" s="90">
        <v>1879</v>
      </c>
    </row>
    <row r="11" spans="1:6" hidden="1" x14ac:dyDescent="0.25">
      <c r="A11" s="37" t="s">
        <v>17</v>
      </c>
      <c r="B11" s="36"/>
      <c r="C11" s="36"/>
      <c r="D11" s="36"/>
      <c r="E11" s="36"/>
      <c r="F11" s="36">
        <v>17</v>
      </c>
    </row>
    <row r="12" spans="1:6" hidden="1" x14ac:dyDescent="0.25">
      <c r="A12" s="37" t="s">
        <v>18</v>
      </c>
      <c r="B12" s="36"/>
      <c r="C12" s="36"/>
      <c r="D12" s="36"/>
      <c r="E12" s="36"/>
      <c r="F12" s="36">
        <v>4</v>
      </c>
    </row>
    <row r="13" spans="1:6" hidden="1" x14ac:dyDescent="0.25">
      <c r="A13" s="37" t="s">
        <v>48</v>
      </c>
      <c r="B13" s="36"/>
      <c r="C13" s="36"/>
      <c r="D13" s="36"/>
      <c r="E13" s="36"/>
      <c r="F13" s="36">
        <v>736</v>
      </c>
    </row>
    <row r="14" spans="1:6" hidden="1" x14ac:dyDescent="0.25">
      <c r="A14" s="37" t="s">
        <v>90</v>
      </c>
      <c r="B14" s="36"/>
      <c r="C14" s="36"/>
      <c r="D14" s="36"/>
      <c r="E14" s="36"/>
      <c r="F14" s="36"/>
    </row>
  </sheetData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2"/>
  <sheetViews>
    <sheetView view="pageBreakPreview" zoomScale="102" zoomScaleNormal="90" zoomScaleSheetLayoutView="102" workbookViewId="0">
      <selection activeCell="Q11" sqref="Q11"/>
    </sheetView>
  </sheetViews>
  <sheetFormatPr defaultColWidth="8.85546875" defaultRowHeight="12.75" x14ac:dyDescent="0.2"/>
  <cols>
    <col min="1" max="1" width="3.5703125" style="8" customWidth="1"/>
    <col min="2" max="2" width="21.5703125" style="8" customWidth="1"/>
    <col min="3" max="3" width="6.7109375" style="8" customWidth="1"/>
    <col min="4" max="4" width="5.5703125" style="8" customWidth="1"/>
    <col min="5" max="5" width="4.42578125" style="8" customWidth="1"/>
    <col min="6" max="6" width="6.5703125" style="8" customWidth="1"/>
    <col min="7" max="7" width="5.5703125" style="8" customWidth="1"/>
    <col min="8" max="8" width="4.85546875" style="8" customWidth="1"/>
    <col min="9" max="9" width="6.42578125" style="8" customWidth="1"/>
    <col min="10" max="10" width="6" style="8" customWidth="1"/>
    <col min="11" max="11" width="5.42578125" style="8" customWidth="1"/>
    <col min="12" max="12" width="6.7109375" style="8" customWidth="1"/>
    <col min="13" max="13" width="6.42578125" style="8" customWidth="1"/>
    <col min="14" max="14" width="5.28515625" style="8" customWidth="1"/>
    <col min="15" max="15" width="6.5703125" style="8" customWidth="1"/>
    <col min="16" max="16" width="7.140625" style="8" customWidth="1"/>
    <col min="17" max="17" width="5.5703125" style="8" customWidth="1"/>
    <col min="18" max="18" width="9.7109375" style="8" customWidth="1"/>
    <col min="19" max="19" width="5.7109375" style="8" customWidth="1"/>
    <col min="20" max="20" width="7.7109375" style="8" customWidth="1"/>
    <col min="21" max="16384" width="8.85546875" style="8"/>
  </cols>
  <sheetData>
    <row r="1" spans="1:26" x14ac:dyDescent="0.2">
      <c r="S1" s="22" t="s">
        <v>165</v>
      </c>
    </row>
    <row r="2" spans="1:26" x14ac:dyDescent="0.2">
      <c r="A2" s="23" t="s">
        <v>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6" x14ac:dyDescent="0.2">
      <c r="A3" s="2"/>
    </row>
    <row r="4" spans="1:26" ht="45" customHeight="1" x14ac:dyDescent="0.2">
      <c r="A4" s="166" t="s">
        <v>0</v>
      </c>
      <c r="B4" s="166" t="s">
        <v>1</v>
      </c>
      <c r="C4" s="168" t="s">
        <v>183</v>
      </c>
      <c r="D4" s="168"/>
      <c r="E4" s="168"/>
      <c r="F4" s="168" t="s">
        <v>184</v>
      </c>
      <c r="G4" s="168"/>
      <c r="H4" s="168"/>
      <c r="I4" s="168" t="s">
        <v>245</v>
      </c>
      <c r="J4" s="168"/>
      <c r="K4" s="168"/>
      <c r="L4" s="168" t="s">
        <v>247</v>
      </c>
      <c r="M4" s="168"/>
      <c r="N4" s="168"/>
      <c r="O4" s="168" t="s">
        <v>258</v>
      </c>
      <c r="P4" s="168"/>
      <c r="Q4" s="168"/>
      <c r="R4" s="172" t="s">
        <v>264</v>
      </c>
      <c r="S4" s="159" t="s">
        <v>109</v>
      </c>
      <c r="T4" s="159" t="s">
        <v>145</v>
      </c>
      <c r="U4" s="8" t="s">
        <v>248</v>
      </c>
      <c r="W4" s="8" t="s">
        <v>249</v>
      </c>
      <c r="Y4" s="8" t="s">
        <v>250</v>
      </c>
    </row>
    <row r="5" spans="1:26" ht="25.5" x14ac:dyDescent="0.2">
      <c r="A5" s="166"/>
      <c r="B5" s="166"/>
      <c r="C5" s="99" t="s">
        <v>2</v>
      </c>
      <c r="D5" s="99" t="s">
        <v>3</v>
      </c>
      <c r="E5" s="99" t="s">
        <v>98</v>
      </c>
      <c r="F5" s="99" t="s">
        <v>2</v>
      </c>
      <c r="G5" s="99" t="s">
        <v>3</v>
      </c>
      <c r="H5" s="99" t="s">
        <v>98</v>
      </c>
      <c r="I5" s="99" t="s">
        <v>2</v>
      </c>
      <c r="J5" s="99" t="s">
        <v>3</v>
      </c>
      <c r="K5" s="99" t="s">
        <v>98</v>
      </c>
      <c r="L5" s="99" t="s">
        <v>2</v>
      </c>
      <c r="M5" s="99" t="s">
        <v>3</v>
      </c>
      <c r="N5" s="99" t="s">
        <v>98</v>
      </c>
      <c r="O5" s="99" t="s">
        <v>2</v>
      </c>
      <c r="P5" s="99" t="s">
        <v>3</v>
      </c>
      <c r="Q5" s="99" t="s">
        <v>98</v>
      </c>
      <c r="R5" s="173"/>
      <c r="S5" s="159"/>
      <c r="T5" s="159"/>
      <c r="U5" s="8">
        <f>SUM(U7:U31)</f>
        <v>4001</v>
      </c>
      <c r="V5" s="8">
        <f t="shared" ref="V5:Z5" si="0">SUM(V7:V31)</f>
        <v>3487</v>
      </c>
      <c r="W5" s="8">
        <f t="shared" si="0"/>
        <v>653</v>
      </c>
      <c r="X5" s="8">
        <f t="shared" si="0"/>
        <v>523</v>
      </c>
      <c r="Y5" s="8">
        <f t="shared" si="0"/>
        <v>12204</v>
      </c>
      <c r="Z5" s="8">
        <f t="shared" si="0"/>
        <v>4515</v>
      </c>
    </row>
    <row r="6" spans="1:26" ht="30" x14ac:dyDescent="0.2">
      <c r="A6" s="99"/>
      <c r="B6" s="98" t="s">
        <v>50</v>
      </c>
      <c r="C6" s="71">
        <v>21681</v>
      </c>
      <c r="D6" s="71">
        <v>740.2</v>
      </c>
      <c r="E6" s="71">
        <v>100</v>
      </c>
      <c r="F6" s="75">
        <v>23150</v>
      </c>
      <c r="G6" s="94">
        <v>797.1</v>
      </c>
      <c r="H6" s="82">
        <v>100</v>
      </c>
      <c r="I6" s="75">
        <v>23565</v>
      </c>
      <c r="J6" s="94">
        <v>819.2</v>
      </c>
      <c r="K6" s="78">
        <v>100</v>
      </c>
      <c r="L6" s="75">
        <v>1353</v>
      </c>
      <c r="M6" s="94">
        <v>47</v>
      </c>
      <c r="N6" s="78">
        <v>100</v>
      </c>
      <c r="O6" s="75">
        <f>V6+X6+Z6</f>
        <v>9101</v>
      </c>
      <c r="P6" s="94">
        <f>ROUND((O6*1000/8571),1)</f>
        <v>1061.8</v>
      </c>
      <c r="Q6" s="78">
        <v>100</v>
      </c>
      <c r="R6" s="124">
        <f>P6/M6</f>
        <v>22.591489361702127</v>
      </c>
      <c r="S6" s="124">
        <f t="shared" ref="S6:S31" si="1">SUM(P6,M6,J6,G6,D6)/5</f>
        <v>693.06000000000006</v>
      </c>
      <c r="T6" s="124">
        <f>P6/S6*100-100</f>
        <v>53.204628747871737</v>
      </c>
      <c r="U6" s="8">
        <v>3987</v>
      </c>
      <c r="V6" s="8">
        <v>3571</v>
      </c>
      <c r="W6" s="8">
        <v>651</v>
      </c>
      <c r="X6" s="8">
        <v>549</v>
      </c>
      <c r="Y6" s="8">
        <v>11906</v>
      </c>
      <c r="Z6" s="8">
        <v>4981</v>
      </c>
    </row>
    <row r="7" spans="1:26" ht="30" x14ac:dyDescent="0.2">
      <c r="A7" s="99">
        <v>1</v>
      </c>
      <c r="B7" s="98" t="s">
        <v>42</v>
      </c>
      <c r="C7" s="71">
        <v>9014</v>
      </c>
      <c r="D7" s="71">
        <v>307.7</v>
      </c>
      <c r="E7" s="78">
        <f>C7/C$6*100</f>
        <v>41.575573082422395</v>
      </c>
      <c r="F7" s="75">
        <v>10278</v>
      </c>
      <c r="G7" s="94">
        <v>353.9</v>
      </c>
      <c r="H7" s="78">
        <f>F7/F$6*100</f>
        <v>44.397408207343418</v>
      </c>
      <c r="I7" s="75">
        <v>10526</v>
      </c>
      <c r="J7" s="94">
        <v>365.9</v>
      </c>
      <c r="K7" s="78">
        <f>I7/I$6*100</f>
        <v>44.667939741141524</v>
      </c>
      <c r="L7" s="75">
        <v>795</v>
      </c>
      <c r="M7" s="94">
        <v>27.6</v>
      </c>
      <c r="N7" s="78">
        <f>L7/L$6*100</f>
        <v>58.758314855875824</v>
      </c>
      <c r="O7" s="75">
        <f t="shared" ref="O7:O31" si="2">V7+X7+Z7</f>
        <v>4735</v>
      </c>
      <c r="P7" s="94">
        <f t="shared" ref="P7:P16" si="3">ROUND((O7*1000/8571),1)</f>
        <v>552.4</v>
      </c>
      <c r="Q7" s="78">
        <f t="shared" ref="Q7:Q16" si="4">O7/O$6*100</f>
        <v>52.027249752774416</v>
      </c>
      <c r="R7" s="124">
        <f t="shared" ref="R7:R16" si="5">P7/M7</f>
        <v>20.014492753623188</v>
      </c>
      <c r="S7" s="124">
        <f t="shared" si="1"/>
        <v>321.5</v>
      </c>
      <c r="T7" s="124">
        <f t="shared" ref="T7:T16" si="6">P7/S7*100-100</f>
        <v>71.819595645412107</v>
      </c>
      <c r="U7" s="95">
        <v>2820</v>
      </c>
      <c r="V7" s="95">
        <v>2802</v>
      </c>
      <c r="W7" s="8">
        <v>367</v>
      </c>
      <c r="X7" s="8">
        <v>354</v>
      </c>
      <c r="Y7" s="8">
        <v>1942</v>
      </c>
      <c r="Z7" s="8">
        <v>1579</v>
      </c>
    </row>
    <row r="8" spans="1:26" ht="75" x14ac:dyDescent="0.2">
      <c r="A8" s="99">
        <v>2</v>
      </c>
      <c r="B8" s="98" t="s">
        <v>211</v>
      </c>
      <c r="C8" s="71">
        <v>2835</v>
      </c>
      <c r="D8" s="71">
        <v>96.8</v>
      </c>
      <c r="E8" s="78">
        <f t="shared" ref="E8:E16" si="7">C8/C$6*100</f>
        <v>13.07596513075965</v>
      </c>
      <c r="F8" s="75">
        <v>2872</v>
      </c>
      <c r="G8" s="94">
        <v>98.9</v>
      </c>
      <c r="H8" s="78">
        <f t="shared" ref="H8:H16" si="8">F8/F$6*100</f>
        <v>12.406047516198704</v>
      </c>
      <c r="I8" s="75">
        <v>2877</v>
      </c>
      <c r="J8" s="94">
        <v>100</v>
      </c>
      <c r="K8" s="78">
        <f t="shared" ref="K8:K16" si="9">I8/I$6*100</f>
        <v>12.208784213876511</v>
      </c>
      <c r="L8" s="75">
        <v>6</v>
      </c>
      <c r="M8" s="94">
        <v>0.2</v>
      </c>
      <c r="N8" s="78">
        <f t="shared" ref="N8:N16" si="10">L8/L$6*100</f>
        <v>0.44345898004434592</v>
      </c>
      <c r="O8" s="75">
        <f t="shared" si="2"/>
        <v>528</v>
      </c>
      <c r="P8" s="94">
        <f t="shared" si="3"/>
        <v>61.6</v>
      </c>
      <c r="Q8" s="78">
        <f t="shared" si="4"/>
        <v>5.8015602681024063</v>
      </c>
      <c r="R8" s="124">
        <f t="shared" si="5"/>
        <v>308</v>
      </c>
      <c r="S8" s="124">
        <f t="shared" si="1"/>
        <v>71.500000000000014</v>
      </c>
      <c r="T8" s="124">
        <f t="shared" si="6"/>
        <v>-13.846153846153868</v>
      </c>
      <c r="U8" s="95">
        <v>111</v>
      </c>
      <c r="V8" s="95">
        <v>111</v>
      </c>
      <c r="W8" s="8">
        <v>40</v>
      </c>
      <c r="X8" s="8">
        <v>40</v>
      </c>
      <c r="Y8" s="8">
        <v>377</v>
      </c>
      <c r="Z8" s="8">
        <v>377</v>
      </c>
    </row>
    <row r="9" spans="1:26" ht="30" x14ac:dyDescent="0.2">
      <c r="A9" s="99">
        <v>3</v>
      </c>
      <c r="B9" s="98" t="s">
        <v>28</v>
      </c>
      <c r="C9" s="71">
        <v>1636</v>
      </c>
      <c r="D9" s="71">
        <v>55.9</v>
      </c>
      <c r="E9" s="78">
        <f t="shared" si="7"/>
        <v>7.5457774087911069</v>
      </c>
      <c r="F9" s="75">
        <v>1421</v>
      </c>
      <c r="G9" s="94">
        <v>48.9</v>
      </c>
      <c r="H9" s="78">
        <f t="shared" si="8"/>
        <v>6.1382289416846652</v>
      </c>
      <c r="I9" s="75">
        <v>1194</v>
      </c>
      <c r="J9" s="94">
        <v>41.5</v>
      </c>
      <c r="K9" s="78">
        <f t="shared" si="9"/>
        <v>5.066836409929981</v>
      </c>
      <c r="L9" s="75">
        <v>26</v>
      </c>
      <c r="M9" s="94">
        <v>0.9</v>
      </c>
      <c r="N9" s="78">
        <f t="shared" si="10"/>
        <v>1.9216555801921658</v>
      </c>
      <c r="O9" s="75">
        <f t="shared" si="2"/>
        <v>299</v>
      </c>
      <c r="P9" s="94">
        <f t="shared" si="3"/>
        <v>34.9</v>
      </c>
      <c r="Q9" s="78">
        <f t="shared" si="4"/>
        <v>3.2853532578837488</v>
      </c>
      <c r="R9" s="124">
        <f t="shared" si="5"/>
        <v>38.777777777777779</v>
      </c>
      <c r="S9" s="124">
        <f t="shared" si="1"/>
        <v>36.42</v>
      </c>
      <c r="T9" s="124">
        <f t="shared" si="6"/>
        <v>-4.1735310269083072</v>
      </c>
      <c r="U9" s="95">
        <v>46</v>
      </c>
      <c r="V9" s="95">
        <v>17</v>
      </c>
      <c r="W9" s="8">
        <v>16</v>
      </c>
      <c r="X9" s="8">
        <v>16</v>
      </c>
      <c r="Y9" s="8">
        <v>1039</v>
      </c>
      <c r="Z9" s="8">
        <v>266</v>
      </c>
    </row>
    <row r="10" spans="1:26" ht="15" x14ac:dyDescent="0.2">
      <c r="A10" s="99">
        <v>4</v>
      </c>
      <c r="B10" s="98" t="s">
        <v>212</v>
      </c>
      <c r="C10" s="71">
        <v>1156</v>
      </c>
      <c r="D10" s="71">
        <v>39.5</v>
      </c>
      <c r="E10" s="78">
        <f t="shared" si="7"/>
        <v>5.3318573866519072</v>
      </c>
      <c r="F10" s="75">
        <v>1120</v>
      </c>
      <c r="G10" s="94">
        <v>38.6</v>
      </c>
      <c r="H10" s="78">
        <f t="shared" si="8"/>
        <v>4.838012958963283</v>
      </c>
      <c r="I10" s="75">
        <v>860</v>
      </c>
      <c r="J10" s="94">
        <v>29.9</v>
      </c>
      <c r="K10" s="78">
        <f t="shared" si="9"/>
        <v>3.6494801612561001</v>
      </c>
      <c r="L10" s="75">
        <v>37</v>
      </c>
      <c r="M10" s="94">
        <v>1.3</v>
      </c>
      <c r="N10" s="78">
        <f t="shared" si="10"/>
        <v>2.7346637102734666</v>
      </c>
      <c r="O10" s="75">
        <f t="shared" si="2"/>
        <v>227</v>
      </c>
      <c r="P10" s="94">
        <f t="shared" si="3"/>
        <v>26.5</v>
      </c>
      <c r="Q10" s="78">
        <f t="shared" si="4"/>
        <v>2.4942314031425119</v>
      </c>
      <c r="R10" s="124">
        <f t="shared" si="5"/>
        <v>20.384615384615383</v>
      </c>
      <c r="S10" s="124">
        <f t="shared" si="1"/>
        <v>27.160000000000004</v>
      </c>
      <c r="T10" s="124">
        <f t="shared" si="6"/>
        <v>-2.4300441826215149</v>
      </c>
      <c r="U10" s="95">
        <v>79</v>
      </c>
      <c r="V10" s="95">
        <v>64</v>
      </c>
      <c r="W10" s="8">
        <v>26</v>
      </c>
      <c r="X10" s="8">
        <v>14</v>
      </c>
      <c r="Y10" s="8">
        <v>465</v>
      </c>
      <c r="Z10" s="8">
        <v>149</v>
      </c>
    </row>
    <row r="11" spans="1:26" ht="45" x14ac:dyDescent="0.2">
      <c r="A11" s="99">
        <v>5</v>
      </c>
      <c r="B11" s="98" t="s">
        <v>213</v>
      </c>
      <c r="C11" s="71">
        <v>738</v>
      </c>
      <c r="D11" s="71">
        <v>25.2</v>
      </c>
      <c r="E11" s="78">
        <f t="shared" si="7"/>
        <v>3.4039020340390205</v>
      </c>
      <c r="F11" s="75">
        <v>682</v>
      </c>
      <c r="G11" s="94">
        <v>23.5</v>
      </c>
      <c r="H11" s="78">
        <f t="shared" si="8"/>
        <v>2.9460043196544277</v>
      </c>
      <c r="I11" s="75">
        <v>905</v>
      </c>
      <c r="J11" s="94">
        <v>31.5</v>
      </c>
      <c r="K11" s="78">
        <f t="shared" si="9"/>
        <v>3.8404413324846169</v>
      </c>
      <c r="L11" s="75">
        <v>139</v>
      </c>
      <c r="M11" s="94">
        <v>4.8</v>
      </c>
      <c r="N11" s="78">
        <f t="shared" si="10"/>
        <v>10.273466371027347</v>
      </c>
      <c r="O11" s="75">
        <f t="shared" si="2"/>
        <v>76</v>
      </c>
      <c r="P11" s="94">
        <f t="shared" si="3"/>
        <v>8.9</v>
      </c>
      <c r="Q11" s="78">
        <f t="shared" si="4"/>
        <v>0.83507306889352806</v>
      </c>
      <c r="R11" s="124">
        <f t="shared" si="5"/>
        <v>1.8541666666666667</v>
      </c>
      <c r="S11" s="124">
        <f t="shared" si="1"/>
        <v>18.78</v>
      </c>
      <c r="T11" s="124">
        <f t="shared" si="6"/>
        <v>-52.609158679446224</v>
      </c>
      <c r="U11" s="95">
        <v>27</v>
      </c>
      <c r="V11" s="95">
        <v>19</v>
      </c>
      <c r="W11" s="8">
        <v>3</v>
      </c>
      <c r="X11" s="8">
        <v>2</v>
      </c>
      <c r="Y11" s="8">
        <v>61</v>
      </c>
      <c r="Z11" s="8">
        <v>55</v>
      </c>
    </row>
    <row r="12" spans="1:26" ht="30" x14ac:dyDescent="0.2">
      <c r="A12" s="99">
        <v>6</v>
      </c>
      <c r="B12" s="98" t="s">
        <v>54</v>
      </c>
      <c r="C12" s="71">
        <v>812</v>
      </c>
      <c r="D12" s="71">
        <v>27.7</v>
      </c>
      <c r="E12" s="78">
        <f t="shared" si="7"/>
        <v>3.7452147041188133</v>
      </c>
      <c r="F12" s="75">
        <v>756</v>
      </c>
      <c r="G12" s="94">
        <v>26</v>
      </c>
      <c r="H12" s="78">
        <f t="shared" si="8"/>
        <v>3.2656587473002161</v>
      </c>
      <c r="I12" s="75">
        <v>650</v>
      </c>
      <c r="J12" s="94">
        <v>22.6</v>
      </c>
      <c r="K12" s="78">
        <f t="shared" si="9"/>
        <v>2.7583280288563548</v>
      </c>
      <c r="L12" s="75">
        <v>41</v>
      </c>
      <c r="M12" s="94">
        <v>1.4</v>
      </c>
      <c r="N12" s="78">
        <f t="shared" si="10"/>
        <v>3.0303030303030303</v>
      </c>
      <c r="O12" s="75">
        <f t="shared" si="2"/>
        <v>401</v>
      </c>
      <c r="P12" s="94">
        <f t="shared" si="3"/>
        <v>46.8</v>
      </c>
      <c r="Q12" s="78">
        <f t="shared" si="4"/>
        <v>4.4061092187671687</v>
      </c>
      <c r="R12" s="124">
        <f t="shared" si="5"/>
        <v>33.428571428571431</v>
      </c>
      <c r="S12" s="124">
        <f t="shared" si="1"/>
        <v>24.9</v>
      </c>
      <c r="T12" s="124">
        <f t="shared" si="6"/>
        <v>87.951807228915669</v>
      </c>
      <c r="U12" s="95">
        <v>46</v>
      </c>
      <c r="V12" s="95">
        <v>35</v>
      </c>
      <c r="W12" s="8">
        <v>15</v>
      </c>
      <c r="X12" s="8">
        <v>10</v>
      </c>
      <c r="Y12" s="8">
        <v>387</v>
      </c>
      <c r="Z12" s="8">
        <v>356</v>
      </c>
    </row>
    <row r="13" spans="1:26" ht="30" x14ac:dyDescent="0.2">
      <c r="A13" s="99">
        <v>7</v>
      </c>
      <c r="B13" s="98" t="s">
        <v>209</v>
      </c>
      <c r="C13" s="71">
        <v>1658</v>
      </c>
      <c r="D13" s="71">
        <v>56.6</v>
      </c>
      <c r="E13" s="78">
        <f t="shared" si="7"/>
        <v>7.647248743139154</v>
      </c>
      <c r="F13" s="75">
        <v>1480</v>
      </c>
      <c r="G13" s="94">
        <v>51</v>
      </c>
      <c r="H13" s="78">
        <f t="shared" si="8"/>
        <v>6.3930885529157671</v>
      </c>
      <c r="I13" s="75">
        <v>1098</v>
      </c>
      <c r="J13" s="94">
        <v>38.200000000000003</v>
      </c>
      <c r="K13" s="78">
        <f t="shared" si="9"/>
        <v>4.659452577975812</v>
      </c>
      <c r="L13" s="75">
        <v>8</v>
      </c>
      <c r="M13" s="94">
        <v>0.3</v>
      </c>
      <c r="N13" s="78">
        <f>L13/L$6*100</f>
        <v>0.59127864005912789</v>
      </c>
      <c r="O13" s="75">
        <f t="shared" si="2"/>
        <v>562</v>
      </c>
      <c r="P13" s="94">
        <f t="shared" si="3"/>
        <v>65.599999999999994</v>
      </c>
      <c r="Q13" s="78">
        <f t="shared" si="4"/>
        <v>6.1751455883968802</v>
      </c>
      <c r="R13" s="124">
        <f t="shared" si="5"/>
        <v>218.66666666666666</v>
      </c>
      <c r="S13" s="124">
        <f t="shared" si="1"/>
        <v>42.339999999999996</v>
      </c>
      <c r="T13" s="124">
        <f t="shared" si="6"/>
        <v>54.936230514879554</v>
      </c>
      <c r="U13" s="95">
        <v>89</v>
      </c>
      <c r="V13" s="95">
        <v>41</v>
      </c>
      <c r="W13" s="8">
        <v>22</v>
      </c>
      <c r="X13" s="8">
        <v>16</v>
      </c>
      <c r="Y13" s="8">
        <v>2071</v>
      </c>
      <c r="Z13" s="8">
        <v>505</v>
      </c>
    </row>
    <row r="14" spans="1:26" ht="30" x14ac:dyDescent="0.2">
      <c r="A14" s="99">
        <v>8</v>
      </c>
      <c r="B14" s="98" t="s">
        <v>215</v>
      </c>
      <c r="C14" s="71">
        <v>448</v>
      </c>
      <c r="D14" s="71">
        <v>15.3</v>
      </c>
      <c r="E14" s="78">
        <f t="shared" si="7"/>
        <v>2.0663253539965871</v>
      </c>
      <c r="F14" s="75">
        <v>491</v>
      </c>
      <c r="G14" s="94">
        <v>16.899999999999999</v>
      </c>
      <c r="H14" s="78">
        <f t="shared" si="8"/>
        <v>2.1209503239740823</v>
      </c>
      <c r="I14" s="75">
        <v>626</v>
      </c>
      <c r="J14" s="94">
        <v>21.8</v>
      </c>
      <c r="K14" s="78">
        <f t="shared" si="9"/>
        <v>2.6564820708678125</v>
      </c>
      <c r="L14" s="75">
        <v>3</v>
      </c>
      <c r="M14" s="94">
        <v>0.1</v>
      </c>
      <c r="N14" s="78">
        <f t="shared" si="10"/>
        <v>0.22172949002217296</v>
      </c>
      <c r="O14" s="75">
        <f t="shared" si="2"/>
        <v>89</v>
      </c>
      <c r="P14" s="94">
        <f t="shared" si="3"/>
        <v>10.4</v>
      </c>
      <c r="Q14" s="78">
        <f t="shared" si="4"/>
        <v>0.9779145148884737</v>
      </c>
      <c r="R14" s="124">
        <f t="shared" si="5"/>
        <v>104</v>
      </c>
      <c r="S14" s="124">
        <f t="shared" si="1"/>
        <v>12.9</v>
      </c>
      <c r="T14" s="124">
        <f t="shared" si="6"/>
        <v>-19.379844961240309</v>
      </c>
      <c r="U14" s="95">
        <v>46</v>
      </c>
      <c r="V14" s="95">
        <v>39</v>
      </c>
      <c r="W14" s="8">
        <v>1</v>
      </c>
      <c r="X14" s="8">
        <v>1</v>
      </c>
      <c r="Y14" s="8">
        <v>397</v>
      </c>
      <c r="Z14" s="8">
        <v>49</v>
      </c>
    </row>
    <row r="15" spans="1:26" ht="30" x14ac:dyDescent="0.2">
      <c r="A15" s="99">
        <v>10</v>
      </c>
      <c r="B15" s="98" t="s">
        <v>20</v>
      </c>
      <c r="C15" s="71">
        <v>923</v>
      </c>
      <c r="D15" s="71">
        <v>31.5</v>
      </c>
      <c r="E15" s="78">
        <f t="shared" si="7"/>
        <v>4.2571837092385039</v>
      </c>
      <c r="F15" s="75">
        <v>1089</v>
      </c>
      <c r="G15" s="94">
        <v>37.5</v>
      </c>
      <c r="H15" s="78">
        <f t="shared" si="8"/>
        <v>4.704103671706263</v>
      </c>
      <c r="I15" s="75">
        <v>1090</v>
      </c>
      <c r="J15" s="94">
        <v>37.9</v>
      </c>
      <c r="K15" s="78">
        <f t="shared" si="9"/>
        <v>4.6255039253129642</v>
      </c>
      <c r="L15" s="75">
        <v>5</v>
      </c>
      <c r="M15" s="94">
        <v>0.2</v>
      </c>
      <c r="N15" s="78">
        <f t="shared" si="10"/>
        <v>0.36954915003695493</v>
      </c>
      <c r="O15" s="75">
        <f t="shared" si="2"/>
        <v>409</v>
      </c>
      <c r="P15" s="94">
        <f t="shared" si="3"/>
        <v>47.7</v>
      </c>
      <c r="Q15" s="78">
        <f t="shared" si="4"/>
        <v>4.4940116470717504</v>
      </c>
      <c r="R15" s="124">
        <f t="shared" si="5"/>
        <v>238.5</v>
      </c>
      <c r="S15" s="124">
        <f t="shared" si="1"/>
        <v>30.96</v>
      </c>
      <c r="T15" s="124">
        <f t="shared" si="6"/>
        <v>54.069767441860478</v>
      </c>
      <c r="U15" s="95">
        <v>3</v>
      </c>
      <c r="V15" s="95">
        <v>3</v>
      </c>
      <c r="W15" s="8">
        <v>0</v>
      </c>
      <c r="X15" s="8">
        <v>0</v>
      </c>
      <c r="Y15" s="8">
        <v>2536</v>
      </c>
      <c r="Z15" s="8">
        <v>406</v>
      </c>
    </row>
    <row r="16" spans="1:26" ht="30" x14ac:dyDescent="0.2">
      <c r="A16" s="99">
        <v>11</v>
      </c>
      <c r="B16" s="98" t="s">
        <v>23</v>
      </c>
      <c r="C16" s="71">
        <v>1003</v>
      </c>
      <c r="D16" s="71">
        <v>34.200000000000003</v>
      </c>
      <c r="E16" s="78">
        <f t="shared" si="7"/>
        <v>4.6261703795950373</v>
      </c>
      <c r="F16" s="75">
        <v>991</v>
      </c>
      <c r="G16" s="94">
        <v>34.1</v>
      </c>
      <c r="H16" s="78">
        <f t="shared" si="8"/>
        <v>4.2807775377969755</v>
      </c>
      <c r="I16" s="75">
        <v>744</v>
      </c>
      <c r="J16" s="94">
        <v>25.9</v>
      </c>
      <c r="K16" s="78">
        <f t="shared" si="9"/>
        <v>3.1572246976448124</v>
      </c>
      <c r="L16" s="75">
        <v>55</v>
      </c>
      <c r="M16" s="94">
        <v>1.9</v>
      </c>
      <c r="N16" s="78">
        <f t="shared" si="10"/>
        <v>4.0650406504065035</v>
      </c>
      <c r="O16" s="75">
        <f t="shared" si="2"/>
        <v>336</v>
      </c>
      <c r="P16" s="94">
        <f t="shared" si="3"/>
        <v>39.200000000000003</v>
      </c>
      <c r="Q16" s="78">
        <f t="shared" si="4"/>
        <v>3.6919019887924405</v>
      </c>
      <c r="R16" s="124">
        <f t="shared" si="5"/>
        <v>20.631578947368425</v>
      </c>
      <c r="S16" s="124">
        <f t="shared" si="1"/>
        <v>27.060000000000002</v>
      </c>
      <c r="T16" s="124">
        <f t="shared" si="6"/>
        <v>44.863266814486337</v>
      </c>
      <c r="U16" s="95">
        <v>195</v>
      </c>
      <c r="V16" s="95">
        <v>170</v>
      </c>
      <c r="W16" s="8">
        <v>39</v>
      </c>
      <c r="X16" s="8">
        <v>27</v>
      </c>
      <c r="Y16" s="8">
        <v>547</v>
      </c>
      <c r="Z16" s="8">
        <v>139</v>
      </c>
    </row>
    <row r="17" spans="1:26" s="110" customFormat="1" ht="15" x14ac:dyDescent="0.2">
      <c r="A17" s="104"/>
      <c r="B17" s="102"/>
      <c r="C17" s="105"/>
      <c r="D17" s="105"/>
      <c r="E17" s="105"/>
      <c r="F17" s="105"/>
      <c r="G17" s="105"/>
      <c r="H17" s="105"/>
      <c r="I17" s="106"/>
      <c r="J17" s="107"/>
      <c r="K17" s="108"/>
      <c r="L17" s="106"/>
      <c r="M17" s="107"/>
      <c r="N17" s="108"/>
      <c r="O17" s="171" t="s">
        <v>254</v>
      </c>
      <c r="P17" s="171"/>
      <c r="Q17" s="171"/>
      <c r="R17" s="171"/>
      <c r="S17" s="171"/>
      <c r="T17" s="171"/>
      <c r="U17" s="109"/>
      <c r="V17" s="109"/>
    </row>
    <row r="18" spans="1:26" ht="45" customHeight="1" x14ac:dyDescent="0.2">
      <c r="A18" s="166" t="s">
        <v>0</v>
      </c>
      <c r="B18" s="166" t="s">
        <v>1</v>
      </c>
      <c r="C18" s="168" t="s">
        <v>183</v>
      </c>
      <c r="D18" s="168"/>
      <c r="E18" s="168"/>
      <c r="F18" s="168" t="s">
        <v>184</v>
      </c>
      <c r="G18" s="168"/>
      <c r="H18" s="168"/>
      <c r="I18" s="168" t="s">
        <v>245</v>
      </c>
      <c r="J18" s="168"/>
      <c r="K18" s="168"/>
      <c r="L18" s="168" t="s">
        <v>247</v>
      </c>
      <c r="M18" s="168"/>
      <c r="N18" s="168"/>
      <c r="O18" s="168" t="s">
        <v>258</v>
      </c>
      <c r="P18" s="168"/>
      <c r="Q18" s="168"/>
      <c r="R18" s="98" t="s">
        <v>264</v>
      </c>
      <c r="S18" s="159" t="s">
        <v>109</v>
      </c>
      <c r="T18" s="159" t="s">
        <v>145</v>
      </c>
      <c r="U18" s="8" t="s">
        <v>248</v>
      </c>
      <c r="W18" s="8" t="s">
        <v>249</v>
      </c>
      <c r="Y18" s="8" t="s">
        <v>250</v>
      </c>
    </row>
    <row r="19" spans="1:26" ht="25.5" x14ac:dyDescent="0.2">
      <c r="A19" s="166"/>
      <c r="B19" s="166"/>
      <c r="C19" s="99" t="s">
        <v>2</v>
      </c>
      <c r="D19" s="99" t="s">
        <v>3</v>
      </c>
      <c r="E19" s="99" t="s">
        <v>98</v>
      </c>
      <c r="F19" s="99" t="s">
        <v>2</v>
      </c>
      <c r="G19" s="99" t="s">
        <v>3</v>
      </c>
      <c r="H19" s="99" t="s">
        <v>98</v>
      </c>
      <c r="I19" s="99" t="s">
        <v>2</v>
      </c>
      <c r="J19" s="99" t="s">
        <v>3</v>
      </c>
      <c r="K19" s="99" t="s">
        <v>98</v>
      </c>
      <c r="L19" s="99" t="s">
        <v>2</v>
      </c>
      <c r="M19" s="99" t="s">
        <v>3</v>
      </c>
      <c r="N19" s="99" t="s">
        <v>98</v>
      </c>
      <c r="O19" s="99" t="s">
        <v>2</v>
      </c>
      <c r="P19" s="99" t="s">
        <v>3</v>
      </c>
      <c r="Q19" s="99" t="s">
        <v>98</v>
      </c>
      <c r="R19" s="98"/>
      <c r="S19" s="159"/>
      <c r="T19" s="159"/>
      <c r="U19" s="8">
        <f>SUM(U21:U44)</f>
        <v>148</v>
      </c>
      <c r="V19" s="8">
        <f t="shared" ref="V19:Z19" si="11">SUM(V21:V44)</f>
        <v>51</v>
      </c>
      <c r="W19" s="8">
        <f t="shared" si="11"/>
        <v>35</v>
      </c>
      <c r="X19" s="8">
        <f t="shared" si="11"/>
        <v>7</v>
      </c>
      <c r="Y19" s="8">
        <f t="shared" si="11"/>
        <v>1039</v>
      </c>
      <c r="Z19" s="8">
        <f t="shared" si="11"/>
        <v>275</v>
      </c>
    </row>
    <row r="20" spans="1:26" ht="30" x14ac:dyDescent="0.2">
      <c r="A20" s="99">
        <v>12</v>
      </c>
      <c r="B20" s="98" t="s">
        <v>95</v>
      </c>
      <c r="C20" s="71">
        <v>432</v>
      </c>
      <c r="D20" s="71">
        <v>14.6</v>
      </c>
      <c r="E20" s="78">
        <f t="shared" ref="E20:E27" si="12">C20/C$6*100</f>
        <v>1.9925280199252802</v>
      </c>
      <c r="F20" s="71">
        <v>385</v>
      </c>
      <c r="G20" s="71">
        <v>13.1</v>
      </c>
      <c r="H20" s="78">
        <f t="shared" ref="H20:H27" si="13">F20/F$6*100</f>
        <v>1.6630669546436285</v>
      </c>
      <c r="I20" s="75">
        <v>369</v>
      </c>
      <c r="J20" s="76">
        <v>12.8</v>
      </c>
      <c r="K20" s="78">
        <f t="shared" ref="K20:K27" si="14">I20/I$6*100</f>
        <v>1.5658816040738384</v>
      </c>
      <c r="L20" s="75">
        <v>6</v>
      </c>
      <c r="M20" s="94">
        <v>0.2</v>
      </c>
      <c r="N20" s="78">
        <f t="shared" ref="N20:N27" si="15">L20/L$6*100</f>
        <v>0.44345898004434592</v>
      </c>
      <c r="O20" s="75">
        <f t="shared" si="2"/>
        <v>197</v>
      </c>
      <c r="P20" s="94">
        <f t="shared" ref="P20:P27" si="16">ROUND((O20*1000/8571),1)</f>
        <v>23</v>
      </c>
      <c r="Q20" s="78">
        <f t="shared" ref="Q20:Q27" si="17">O20/O$6*100</f>
        <v>2.1645972970003298</v>
      </c>
      <c r="R20" s="124">
        <f t="shared" ref="R20:R27" si="18">P20/M20</f>
        <v>115</v>
      </c>
      <c r="S20" s="124">
        <f t="shared" si="1"/>
        <v>12.74</v>
      </c>
      <c r="T20" s="124">
        <f t="shared" ref="T20:T27" si="19">P20/S20*100-100</f>
        <v>80.533751962323407</v>
      </c>
      <c r="U20" s="95">
        <v>243</v>
      </c>
      <c r="V20" s="95">
        <v>84</v>
      </c>
      <c r="W20" s="8">
        <v>54</v>
      </c>
      <c r="X20" s="8">
        <v>29</v>
      </c>
      <c r="Y20" s="8">
        <v>304</v>
      </c>
      <c r="Z20" s="8">
        <v>84</v>
      </c>
    </row>
    <row r="21" spans="1:26" ht="15" x14ac:dyDescent="0.2">
      <c r="A21" s="99">
        <v>13</v>
      </c>
      <c r="B21" s="98" t="s">
        <v>52</v>
      </c>
      <c r="C21" s="71">
        <v>209</v>
      </c>
      <c r="D21" s="71">
        <v>7.1</v>
      </c>
      <c r="E21" s="78">
        <f t="shared" si="12"/>
        <v>0.96397767630644338</v>
      </c>
      <c r="F21" s="71">
        <v>204</v>
      </c>
      <c r="G21" s="71">
        <v>7</v>
      </c>
      <c r="H21" s="78">
        <f t="shared" si="13"/>
        <v>0.88120950323974079</v>
      </c>
      <c r="I21" s="75">
        <v>179</v>
      </c>
      <c r="J21" s="76">
        <v>6.2</v>
      </c>
      <c r="K21" s="78">
        <f t="shared" si="14"/>
        <v>0.75960110333121156</v>
      </c>
      <c r="L21" s="75">
        <v>26</v>
      </c>
      <c r="M21" s="94">
        <v>0.9</v>
      </c>
      <c r="N21" s="78">
        <f t="shared" si="15"/>
        <v>1.9216555801921658</v>
      </c>
      <c r="O21" s="75">
        <f t="shared" si="2"/>
        <v>119</v>
      </c>
      <c r="P21" s="94">
        <f t="shared" si="16"/>
        <v>13.9</v>
      </c>
      <c r="Q21" s="78">
        <f t="shared" si="17"/>
        <v>1.3075486210306559</v>
      </c>
      <c r="R21" s="124">
        <f t="shared" si="18"/>
        <v>15.444444444444445</v>
      </c>
      <c r="S21" s="124">
        <f t="shared" si="1"/>
        <v>7.0200000000000005</v>
      </c>
      <c r="T21" s="124">
        <f t="shared" si="19"/>
        <v>98.005698005698008</v>
      </c>
      <c r="U21" s="95">
        <v>16</v>
      </c>
      <c r="V21" s="95">
        <v>13</v>
      </c>
      <c r="W21" s="8">
        <v>1</v>
      </c>
      <c r="X21" s="8">
        <v>1</v>
      </c>
      <c r="Y21" s="8">
        <v>412</v>
      </c>
      <c r="Z21" s="8">
        <v>105</v>
      </c>
    </row>
    <row r="22" spans="1:26" ht="30" x14ac:dyDescent="0.2">
      <c r="A22" s="99">
        <v>14</v>
      </c>
      <c r="B22" s="98" t="s">
        <v>51</v>
      </c>
      <c r="C22" s="71">
        <v>257</v>
      </c>
      <c r="D22" s="71">
        <v>8.6999999999999993</v>
      </c>
      <c r="E22" s="78">
        <f t="shared" si="12"/>
        <v>1.1853696785203636</v>
      </c>
      <c r="F22" s="71">
        <v>311</v>
      </c>
      <c r="G22" s="71">
        <v>10.6</v>
      </c>
      <c r="H22" s="78">
        <f t="shared" si="13"/>
        <v>1.3434125269978403</v>
      </c>
      <c r="I22" s="75">
        <v>325</v>
      </c>
      <c r="J22" s="76">
        <v>11.3</v>
      </c>
      <c r="K22" s="78">
        <f t="shared" si="14"/>
        <v>1.3791640144281774</v>
      </c>
      <c r="L22" s="75">
        <v>0</v>
      </c>
      <c r="M22" s="94">
        <v>0</v>
      </c>
      <c r="N22" s="78">
        <f t="shared" si="15"/>
        <v>0</v>
      </c>
      <c r="O22" s="75">
        <f t="shared" si="2"/>
        <v>97</v>
      </c>
      <c r="P22" s="94">
        <f t="shared" si="16"/>
        <v>11.3</v>
      </c>
      <c r="Q22" s="78">
        <f t="shared" si="17"/>
        <v>1.0658169431930558</v>
      </c>
      <c r="R22" s="124">
        <v>100</v>
      </c>
      <c r="S22" s="124">
        <f t="shared" si="1"/>
        <v>8.3800000000000008</v>
      </c>
      <c r="T22" s="124">
        <f t="shared" si="19"/>
        <v>34.844868735083537</v>
      </c>
      <c r="U22" s="95">
        <v>59</v>
      </c>
      <c r="V22" s="95">
        <v>23</v>
      </c>
      <c r="W22" s="8">
        <v>15</v>
      </c>
      <c r="X22" s="8">
        <v>6</v>
      </c>
      <c r="Y22" s="8">
        <v>474</v>
      </c>
      <c r="Z22" s="8">
        <v>68</v>
      </c>
    </row>
    <row r="23" spans="1:26" ht="30" x14ac:dyDescent="0.2">
      <c r="A23" s="57">
        <v>15</v>
      </c>
      <c r="B23" s="98" t="s">
        <v>222</v>
      </c>
      <c r="C23" s="71">
        <v>498</v>
      </c>
      <c r="D23" s="71">
        <v>16.8</v>
      </c>
      <c r="E23" s="78">
        <f t="shared" si="12"/>
        <v>2.2969420229694202</v>
      </c>
      <c r="F23" s="71">
        <v>311</v>
      </c>
      <c r="G23" s="71">
        <v>10.6</v>
      </c>
      <c r="H23" s="78">
        <f t="shared" si="13"/>
        <v>1.3434125269978403</v>
      </c>
      <c r="I23" s="125">
        <v>274</v>
      </c>
      <c r="J23" s="76">
        <v>9.5</v>
      </c>
      <c r="K23" s="78">
        <f t="shared" si="14"/>
        <v>1.1627413537025248</v>
      </c>
      <c r="L23" s="75">
        <v>12</v>
      </c>
      <c r="M23" s="94">
        <v>0.4</v>
      </c>
      <c r="N23" s="78">
        <f t="shared" si="15"/>
        <v>0.88691796008869184</v>
      </c>
      <c r="O23" s="75">
        <f t="shared" si="2"/>
        <v>79</v>
      </c>
      <c r="P23" s="94">
        <f t="shared" si="16"/>
        <v>9.1999999999999993</v>
      </c>
      <c r="Q23" s="78">
        <f t="shared" si="17"/>
        <v>0.86803647950774632</v>
      </c>
      <c r="R23" s="124">
        <f t="shared" si="18"/>
        <v>22.999999999999996</v>
      </c>
      <c r="S23" s="124">
        <f t="shared" si="1"/>
        <v>9.3000000000000007</v>
      </c>
      <c r="T23" s="124">
        <f t="shared" si="19"/>
        <v>-1.0752688172043179</v>
      </c>
      <c r="U23" s="95">
        <v>0</v>
      </c>
      <c r="V23" s="95">
        <v>0</v>
      </c>
      <c r="W23" s="8">
        <v>0</v>
      </c>
      <c r="X23" s="8">
        <v>0</v>
      </c>
      <c r="Y23" s="8">
        <v>79</v>
      </c>
      <c r="Z23" s="8">
        <v>79</v>
      </c>
    </row>
    <row r="24" spans="1:26" ht="90" x14ac:dyDescent="0.2">
      <c r="A24" s="100">
        <v>16</v>
      </c>
      <c r="B24" s="93" t="s">
        <v>223</v>
      </c>
      <c r="C24" s="71">
        <v>18</v>
      </c>
      <c r="D24" s="71">
        <v>0.6</v>
      </c>
      <c r="E24" s="78">
        <f t="shared" si="12"/>
        <v>8.3022000830220002E-2</v>
      </c>
      <c r="F24" s="71">
        <v>21</v>
      </c>
      <c r="G24" s="71">
        <v>0.7</v>
      </c>
      <c r="H24" s="78">
        <f t="shared" si="13"/>
        <v>9.0712742980561561E-2</v>
      </c>
      <c r="I24" s="125">
        <v>342</v>
      </c>
      <c r="J24" s="76">
        <v>11.9</v>
      </c>
      <c r="K24" s="78">
        <f t="shared" si="14"/>
        <v>1.4513049013367281</v>
      </c>
      <c r="L24" s="75">
        <v>3</v>
      </c>
      <c r="M24" s="94">
        <v>0.1</v>
      </c>
      <c r="N24" s="78">
        <f t="shared" si="15"/>
        <v>0.22172949002217296</v>
      </c>
      <c r="O24" s="75">
        <f t="shared" si="2"/>
        <v>0</v>
      </c>
      <c r="P24" s="94">
        <f t="shared" si="16"/>
        <v>0</v>
      </c>
      <c r="Q24" s="78">
        <f t="shared" si="17"/>
        <v>0</v>
      </c>
      <c r="R24" s="124">
        <f t="shared" si="18"/>
        <v>0</v>
      </c>
      <c r="S24" s="124">
        <f t="shared" si="1"/>
        <v>2.6599999999999997</v>
      </c>
      <c r="T24" s="124">
        <f t="shared" si="19"/>
        <v>-100</v>
      </c>
      <c r="U24" s="95">
        <v>0</v>
      </c>
      <c r="V24" s="95">
        <v>0</v>
      </c>
      <c r="W24" s="8">
        <v>0</v>
      </c>
      <c r="X24" s="8">
        <v>0</v>
      </c>
      <c r="Y24" s="8">
        <v>0</v>
      </c>
      <c r="Z24" s="8">
        <v>0</v>
      </c>
    </row>
    <row r="25" spans="1:26" ht="60" x14ac:dyDescent="0.2">
      <c r="A25" s="57">
        <v>17</v>
      </c>
      <c r="B25" s="98" t="s">
        <v>216</v>
      </c>
      <c r="C25" s="71">
        <v>56</v>
      </c>
      <c r="D25" s="71">
        <v>1.9</v>
      </c>
      <c r="E25" s="78">
        <f t="shared" si="12"/>
        <v>0.25829066924957339</v>
      </c>
      <c r="F25" s="71">
        <v>55</v>
      </c>
      <c r="G25" s="71">
        <v>1.9</v>
      </c>
      <c r="H25" s="78">
        <f t="shared" si="13"/>
        <v>0.23758099352051837</v>
      </c>
      <c r="I25" s="125">
        <v>34</v>
      </c>
      <c r="J25" s="76">
        <v>1.2</v>
      </c>
      <c r="K25" s="78">
        <f t="shared" si="14"/>
        <v>0.14428177381710164</v>
      </c>
      <c r="L25" s="75">
        <v>3</v>
      </c>
      <c r="M25" s="94">
        <v>0.1</v>
      </c>
      <c r="N25" s="78">
        <f t="shared" si="15"/>
        <v>0.22172949002217296</v>
      </c>
      <c r="O25" s="75">
        <f t="shared" si="2"/>
        <v>0</v>
      </c>
      <c r="P25" s="94">
        <f t="shared" si="16"/>
        <v>0</v>
      </c>
      <c r="Q25" s="78">
        <f t="shared" si="17"/>
        <v>0</v>
      </c>
      <c r="R25" s="124">
        <f t="shared" si="18"/>
        <v>0</v>
      </c>
      <c r="S25" s="124">
        <f t="shared" si="1"/>
        <v>1.02</v>
      </c>
      <c r="T25" s="124">
        <f t="shared" si="19"/>
        <v>-100</v>
      </c>
      <c r="U25" s="95">
        <v>0</v>
      </c>
      <c r="V25" s="95">
        <v>0</v>
      </c>
      <c r="W25" s="8">
        <v>0</v>
      </c>
      <c r="X25" s="8">
        <v>0</v>
      </c>
      <c r="Y25" s="8">
        <v>0</v>
      </c>
      <c r="Z25" s="8">
        <v>0</v>
      </c>
    </row>
    <row r="26" spans="1:26" ht="60" x14ac:dyDescent="0.2">
      <c r="A26" s="57">
        <v>18</v>
      </c>
      <c r="B26" s="98" t="s">
        <v>224</v>
      </c>
      <c r="C26" s="71">
        <v>112</v>
      </c>
      <c r="D26" s="71">
        <v>3.8</v>
      </c>
      <c r="E26" s="78">
        <f t="shared" si="12"/>
        <v>0.51658133849914678</v>
      </c>
      <c r="F26" s="71">
        <v>117</v>
      </c>
      <c r="G26" s="71">
        <v>4</v>
      </c>
      <c r="H26" s="78">
        <f t="shared" si="13"/>
        <v>0.50539956803455732</v>
      </c>
      <c r="I26" s="125">
        <v>115</v>
      </c>
      <c r="J26" s="76">
        <v>4</v>
      </c>
      <c r="K26" s="78">
        <f t="shared" si="14"/>
        <v>0.48801188202843199</v>
      </c>
      <c r="L26" s="75">
        <v>20</v>
      </c>
      <c r="M26" s="94">
        <v>0.7</v>
      </c>
      <c r="N26" s="78">
        <f t="shared" si="15"/>
        <v>1.4781966001478197</v>
      </c>
      <c r="O26" s="75">
        <f t="shared" si="2"/>
        <v>0</v>
      </c>
      <c r="P26" s="94">
        <f t="shared" si="16"/>
        <v>0</v>
      </c>
      <c r="Q26" s="78">
        <f t="shared" si="17"/>
        <v>0</v>
      </c>
      <c r="R26" s="124">
        <f t="shared" si="18"/>
        <v>0</v>
      </c>
      <c r="S26" s="124">
        <f t="shared" si="1"/>
        <v>2.5</v>
      </c>
      <c r="T26" s="124">
        <f t="shared" si="19"/>
        <v>-100</v>
      </c>
      <c r="U26" s="95">
        <v>0</v>
      </c>
      <c r="V26" s="95">
        <v>0</v>
      </c>
      <c r="W26" s="8">
        <v>0</v>
      </c>
      <c r="X26" s="8">
        <v>0</v>
      </c>
      <c r="Y26" s="8">
        <v>0</v>
      </c>
      <c r="Z26" s="8">
        <v>0</v>
      </c>
    </row>
    <row r="27" spans="1:26" ht="45" customHeight="1" x14ac:dyDescent="0.2">
      <c r="A27" s="57">
        <v>19</v>
      </c>
      <c r="B27" s="98" t="s">
        <v>218</v>
      </c>
      <c r="C27" s="71">
        <v>43</v>
      </c>
      <c r="D27" s="71">
        <v>1.5</v>
      </c>
      <c r="E27" s="78">
        <f t="shared" si="12"/>
        <v>0.19833033531663669</v>
      </c>
      <c r="F27" s="71">
        <v>53</v>
      </c>
      <c r="G27" s="71">
        <v>1.8</v>
      </c>
      <c r="H27" s="78">
        <f t="shared" si="13"/>
        <v>0.22894168466522677</v>
      </c>
      <c r="I27" s="125">
        <v>52</v>
      </c>
      <c r="J27" s="76">
        <v>1.8</v>
      </c>
      <c r="K27" s="78">
        <f t="shared" si="14"/>
        <v>0.22066624230850837</v>
      </c>
      <c r="L27" s="75">
        <v>4</v>
      </c>
      <c r="M27" s="94">
        <v>0.1</v>
      </c>
      <c r="N27" s="78">
        <f t="shared" si="15"/>
        <v>0.29563932002956395</v>
      </c>
      <c r="O27" s="75">
        <f t="shared" si="2"/>
        <v>35</v>
      </c>
      <c r="P27" s="94">
        <f t="shared" si="16"/>
        <v>4.0999999999999996</v>
      </c>
      <c r="Q27" s="78">
        <f t="shared" si="17"/>
        <v>0.38457312383254588</v>
      </c>
      <c r="R27" s="124">
        <f t="shared" si="18"/>
        <v>40.999999999999993</v>
      </c>
      <c r="S27" s="124">
        <f t="shared" si="1"/>
        <v>1.8599999999999999</v>
      </c>
      <c r="T27" s="124">
        <f t="shared" si="19"/>
        <v>120.4301075268817</v>
      </c>
      <c r="U27" s="95">
        <v>29</v>
      </c>
      <c r="V27" s="95">
        <v>12</v>
      </c>
      <c r="W27" s="8">
        <v>6</v>
      </c>
      <c r="X27" s="8">
        <v>0</v>
      </c>
      <c r="Y27" s="8">
        <v>62</v>
      </c>
      <c r="Z27" s="8">
        <v>23</v>
      </c>
    </row>
    <row r="28" spans="1:26" s="110" customFormat="1" ht="15" x14ac:dyDescent="0.2">
      <c r="A28" s="104"/>
      <c r="B28" s="102"/>
      <c r="C28" s="105"/>
      <c r="D28" s="105"/>
      <c r="E28" s="105"/>
      <c r="F28" s="105"/>
      <c r="G28" s="105"/>
      <c r="H28" s="105"/>
      <c r="I28" s="106"/>
      <c r="J28" s="107"/>
      <c r="K28" s="108"/>
      <c r="L28" s="106"/>
      <c r="M28" s="107"/>
      <c r="N28" s="108"/>
      <c r="O28" s="171" t="s">
        <v>254</v>
      </c>
      <c r="P28" s="171"/>
      <c r="Q28" s="171"/>
      <c r="R28" s="171"/>
      <c r="S28" s="171"/>
      <c r="T28" s="171"/>
      <c r="U28" s="109"/>
      <c r="V28" s="109"/>
    </row>
    <row r="29" spans="1:26" ht="65.25" customHeight="1" x14ac:dyDescent="0.2">
      <c r="A29" s="166" t="s">
        <v>0</v>
      </c>
      <c r="B29" s="166" t="s">
        <v>1</v>
      </c>
      <c r="C29" s="168" t="s">
        <v>183</v>
      </c>
      <c r="D29" s="168"/>
      <c r="E29" s="168"/>
      <c r="F29" s="168" t="s">
        <v>184</v>
      </c>
      <c r="G29" s="168"/>
      <c r="H29" s="168"/>
      <c r="I29" s="168" t="s">
        <v>245</v>
      </c>
      <c r="J29" s="168"/>
      <c r="K29" s="168"/>
      <c r="L29" s="168" t="s">
        <v>247</v>
      </c>
      <c r="M29" s="168"/>
      <c r="N29" s="168"/>
      <c r="O29" s="168" t="s">
        <v>258</v>
      </c>
      <c r="P29" s="168"/>
      <c r="Q29" s="168"/>
      <c r="R29" s="98" t="s">
        <v>264</v>
      </c>
      <c r="S29" s="159" t="s">
        <v>109</v>
      </c>
      <c r="T29" s="159" t="s">
        <v>145</v>
      </c>
      <c r="U29" s="8" t="s">
        <v>248</v>
      </c>
      <c r="W29" s="8" t="s">
        <v>249</v>
      </c>
      <c r="Y29" s="8" t="s">
        <v>250</v>
      </c>
    </row>
    <row r="30" spans="1:26" ht="25.5" x14ac:dyDescent="0.2">
      <c r="A30" s="166"/>
      <c r="B30" s="166"/>
      <c r="C30" s="99" t="s">
        <v>2</v>
      </c>
      <c r="D30" s="99" t="s">
        <v>3</v>
      </c>
      <c r="E30" s="99" t="s">
        <v>98</v>
      </c>
      <c r="F30" s="99" t="s">
        <v>2</v>
      </c>
      <c r="G30" s="99" t="s">
        <v>3</v>
      </c>
      <c r="H30" s="99" t="s">
        <v>98</v>
      </c>
      <c r="I30" s="99" t="s">
        <v>2</v>
      </c>
      <c r="J30" s="99" t="s">
        <v>3</v>
      </c>
      <c r="K30" s="99" t="s">
        <v>98</v>
      </c>
      <c r="L30" s="99" t="s">
        <v>2</v>
      </c>
      <c r="M30" s="99" t="s">
        <v>3</v>
      </c>
      <c r="N30" s="99" t="s">
        <v>98</v>
      </c>
      <c r="O30" s="99" t="s">
        <v>2</v>
      </c>
      <c r="P30" s="99" t="s">
        <v>3</v>
      </c>
      <c r="Q30" s="99" t="s">
        <v>98</v>
      </c>
      <c r="R30" s="98"/>
      <c r="S30" s="159"/>
      <c r="T30" s="159"/>
    </row>
    <row r="31" spans="1:26" ht="90" x14ac:dyDescent="0.2">
      <c r="A31" s="57">
        <v>20</v>
      </c>
      <c r="B31" s="98" t="s">
        <v>221</v>
      </c>
      <c r="C31" s="71">
        <v>23</v>
      </c>
      <c r="D31" s="71">
        <v>1.1000000000000001</v>
      </c>
      <c r="E31" s="78">
        <f t="shared" ref="E31" si="20">C31/C$6*100</f>
        <v>0.10608366772750334</v>
      </c>
      <c r="F31" s="71">
        <v>1</v>
      </c>
      <c r="G31" s="71">
        <v>0.05</v>
      </c>
      <c r="H31" s="71">
        <v>5.0000000000000001E-3</v>
      </c>
      <c r="I31" s="125">
        <v>31</v>
      </c>
      <c r="J31" s="76">
        <v>1.1000000000000001</v>
      </c>
      <c r="K31" s="78">
        <f t="shared" ref="K31" si="21">I31/I$6*100</f>
        <v>0.13155102906853383</v>
      </c>
      <c r="L31" s="75">
        <v>0</v>
      </c>
      <c r="M31" s="94">
        <v>0</v>
      </c>
      <c r="N31" s="78">
        <f t="shared" ref="N31" si="22">L31/L$6*100</f>
        <v>0</v>
      </c>
      <c r="O31" s="75">
        <f t="shared" si="2"/>
        <v>3</v>
      </c>
      <c r="P31" s="94">
        <f t="shared" ref="P31" si="23">ROUND((O31*1000/8571),1)</f>
        <v>0.4</v>
      </c>
      <c r="Q31" s="144">
        <f t="shared" ref="Q31" si="24">O31/O$6*100</f>
        <v>3.2963410614218216E-2</v>
      </c>
      <c r="R31" s="124">
        <v>100</v>
      </c>
      <c r="S31" s="124">
        <f t="shared" si="1"/>
        <v>0.53</v>
      </c>
      <c r="T31" s="124">
        <f t="shared" ref="T31" si="25">P31/S31*100-100</f>
        <v>-24.528301886792448</v>
      </c>
      <c r="U31" s="95">
        <v>44</v>
      </c>
      <c r="V31" s="95">
        <v>3</v>
      </c>
      <c r="W31" s="8">
        <v>13</v>
      </c>
      <c r="X31" s="8">
        <v>0</v>
      </c>
      <c r="Y31" s="8">
        <v>12</v>
      </c>
      <c r="Z31" s="8">
        <v>0</v>
      </c>
    </row>
    <row r="32" spans="1:26" x14ac:dyDescent="0.2">
      <c r="B32" s="8" t="s">
        <v>251</v>
      </c>
    </row>
  </sheetData>
  <mergeCells count="30">
    <mergeCell ref="T4:T5"/>
    <mergeCell ref="I4:K4"/>
    <mergeCell ref="A4:A5"/>
    <mergeCell ref="B4:B5"/>
    <mergeCell ref="L4:N4"/>
    <mergeCell ref="C4:E4"/>
    <mergeCell ref="F4:H4"/>
    <mergeCell ref="O4:Q4"/>
    <mergeCell ref="S4:S5"/>
    <mergeCell ref="R4:R5"/>
    <mergeCell ref="A18:A19"/>
    <mergeCell ref="B18:B19"/>
    <mergeCell ref="C18:E18"/>
    <mergeCell ref="F18:H18"/>
    <mergeCell ref="I18:K18"/>
    <mergeCell ref="L18:N18"/>
    <mergeCell ref="O18:Q18"/>
    <mergeCell ref="S18:S19"/>
    <mergeCell ref="T18:T19"/>
    <mergeCell ref="O17:T17"/>
    <mergeCell ref="O28:T28"/>
    <mergeCell ref="A29:A30"/>
    <mergeCell ref="B29:B30"/>
    <mergeCell ref="C29:E29"/>
    <mergeCell ref="F29:H29"/>
    <mergeCell ref="I29:K29"/>
    <mergeCell ref="L29:N29"/>
    <mergeCell ref="O29:Q29"/>
    <mergeCell ref="S29:S30"/>
    <mergeCell ref="T29:T30"/>
  </mergeCells>
  <pageMargins left="0.98425196850393704" right="0.98425196850393704" top="0.98425196850393704" bottom="0.98425196850393704" header="0.51181102362204722" footer="0.51181102362204722"/>
  <pageSetup paperSize="9" scale="90" fitToHeight="0" orientation="landscape" r:id="rId1"/>
  <rowBreaks count="2" manualBreakCount="2">
    <brk id="16" max="19" man="1"/>
    <brk id="27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6"/>
  <sheetViews>
    <sheetView view="pageBreakPreview" zoomScaleSheetLayoutView="100" workbookViewId="0">
      <selection activeCell="O14" sqref="O14"/>
    </sheetView>
  </sheetViews>
  <sheetFormatPr defaultRowHeight="15" x14ac:dyDescent="0.25"/>
  <cols>
    <col min="1" max="1" width="4.140625" customWidth="1"/>
    <col min="2" max="2" width="25.7109375" customWidth="1"/>
    <col min="3" max="12" width="7.7109375" customWidth="1"/>
  </cols>
  <sheetData>
    <row r="1" spans="1:15" x14ac:dyDescent="0.25">
      <c r="O1" s="10" t="s">
        <v>166</v>
      </c>
    </row>
    <row r="2" spans="1:15" x14ac:dyDescent="0.25">
      <c r="A2" s="3"/>
    </row>
    <row r="3" spans="1:15" x14ac:dyDescent="0.25">
      <c r="A3" s="16" t="s">
        <v>255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2"/>
    </row>
    <row r="5" spans="1:15" ht="47.25" customHeight="1" x14ac:dyDescent="0.25">
      <c r="A5" s="159" t="s">
        <v>0</v>
      </c>
      <c r="B5" s="159" t="s">
        <v>1</v>
      </c>
      <c r="C5" s="159" t="s">
        <v>183</v>
      </c>
      <c r="D5" s="159"/>
      <c r="E5" s="159" t="s">
        <v>184</v>
      </c>
      <c r="F5" s="159"/>
      <c r="G5" s="159" t="s">
        <v>245</v>
      </c>
      <c r="H5" s="159"/>
      <c r="I5" s="159" t="s">
        <v>247</v>
      </c>
      <c r="J5" s="159"/>
      <c r="K5" s="159" t="s">
        <v>258</v>
      </c>
      <c r="L5" s="159"/>
      <c r="M5" s="159" t="s">
        <v>144</v>
      </c>
      <c r="N5" s="159" t="s">
        <v>109</v>
      </c>
      <c r="O5" s="159" t="s">
        <v>145</v>
      </c>
    </row>
    <row r="6" spans="1:15" x14ac:dyDescent="0.25">
      <c r="A6" s="159"/>
      <c r="B6" s="159"/>
      <c r="C6" s="127" t="s">
        <v>2</v>
      </c>
      <c r="D6" s="127" t="s">
        <v>3</v>
      </c>
      <c r="E6" s="127" t="s">
        <v>2</v>
      </c>
      <c r="F6" s="127" t="s">
        <v>3</v>
      </c>
      <c r="G6" s="127" t="s">
        <v>2</v>
      </c>
      <c r="H6" s="127" t="s">
        <v>3</v>
      </c>
      <c r="I6" s="127" t="s">
        <v>2</v>
      </c>
      <c r="J6" s="127" t="s">
        <v>3</v>
      </c>
      <c r="K6" s="127" t="s">
        <v>2</v>
      </c>
      <c r="L6" s="127" t="s">
        <v>3</v>
      </c>
      <c r="M6" s="159"/>
      <c r="N6" s="159"/>
      <c r="O6" s="159"/>
    </row>
    <row r="7" spans="1:15" ht="45" x14ac:dyDescent="0.25">
      <c r="A7" s="127">
        <v>1</v>
      </c>
      <c r="B7" s="127" t="s">
        <v>88</v>
      </c>
      <c r="C7" s="71"/>
      <c r="D7" s="71"/>
      <c r="E7" s="79"/>
      <c r="F7" s="78"/>
      <c r="G7" s="79"/>
      <c r="H7" s="78"/>
      <c r="I7" s="79">
        <v>79</v>
      </c>
      <c r="J7" s="78">
        <f>ROUND((I7/6034*1000),1)</f>
        <v>13.1</v>
      </c>
      <c r="K7" s="79">
        <v>79</v>
      </c>
      <c r="L7" s="78">
        <f>ROUND((K7*1000/5947),1)</f>
        <v>13.3</v>
      </c>
      <c r="M7" s="124">
        <f>L7/J7*100-100</f>
        <v>1.5267175572519136</v>
      </c>
      <c r="N7" s="124">
        <f>ROUND((SUM(D7,F7,H7,J7,L7)/2),1)</f>
        <v>13.2</v>
      </c>
      <c r="O7" s="124">
        <f>L7/N7*100-100</f>
        <v>0.75757575757577911</v>
      </c>
    </row>
    <row r="8" spans="1:15" ht="45" x14ac:dyDescent="0.25">
      <c r="A8" s="127"/>
      <c r="B8" s="127" t="s">
        <v>225</v>
      </c>
      <c r="C8" s="71"/>
      <c r="D8" s="71"/>
      <c r="E8" s="79"/>
      <c r="F8" s="78"/>
      <c r="G8" s="79"/>
      <c r="H8" s="78"/>
      <c r="I8" s="79">
        <v>47</v>
      </c>
      <c r="J8" s="78">
        <f t="shared" ref="J8:J15" si="0">ROUND((I8/6034*1000),1)</f>
        <v>7.8</v>
      </c>
      <c r="K8" s="79">
        <v>44</v>
      </c>
      <c r="L8" s="78">
        <f t="shared" ref="L8:L15" si="1">ROUND((K8*1000/5947),1)</f>
        <v>7.4</v>
      </c>
      <c r="M8" s="124">
        <f t="shared" ref="M8:M12" si="2">L8/J8*100-100</f>
        <v>-5.1282051282051242</v>
      </c>
      <c r="N8" s="124">
        <f t="shared" ref="N8:N15" si="3">ROUND((SUM(D8,F8,H8,J8,L8)/2),1)</f>
        <v>7.6</v>
      </c>
      <c r="O8" s="124">
        <f t="shared" ref="O8:O14" si="4">L8/N8*100-100</f>
        <v>-2.6315789473684106</v>
      </c>
    </row>
    <row r="9" spans="1:15" ht="30" x14ac:dyDescent="0.25">
      <c r="A9" s="127"/>
      <c r="B9" s="127" t="s">
        <v>226</v>
      </c>
      <c r="C9" s="71"/>
      <c r="D9" s="71"/>
      <c r="E9" s="79"/>
      <c r="F9" s="78"/>
      <c r="G9" s="79"/>
      <c r="H9" s="78"/>
      <c r="I9" s="79">
        <v>1</v>
      </c>
      <c r="J9" s="78">
        <f t="shared" si="0"/>
        <v>0.2</v>
      </c>
      <c r="K9" s="79">
        <v>1</v>
      </c>
      <c r="L9" s="78">
        <f t="shared" si="1"/>
        <v>0.2</v>
      </c>
      <c r="M9" s="124">
        <f t="shared" si="2"/>
        <v>0</v>
      </c>
      <c r="N9" s="124">
        <f t="shared" si="3"/>
        <v>0.2</v>
      </c>
      <c r="O9" s="124">
        <f t="shared" si="4"/>
        <v>0</v>
      </c>
    </row>
    <row r="10" spans="1:15" x14ac:dyDescent="0.25">
      <c r="A10" s="127">
        <v>2</v>
      </c>
      <c r="B10" s="127" t="s">
        <v>87</v>
      </c>
      <c r="C10" s="71"/>
      <c r="D10" s="71"/>
      <c r="E10" s="79"/>
      <c r="F10" s="78"/>
      <c r="G10" s="79"/>
      <c r="H10" s="78"/>
      <c r="I10" s="79">
        <v>49</v>
      </c>
      <c r="J10" s="78">
        <f t="shared" si="0"/>
        <v>8.1</v>
      </c>
      <c r="K10" s="79">
        <v>53</v>
      </c>
      <c r="L10" s="78">
        <f t="shared" si="1"/>
        <v>8.9</v>
      </c>
      <c r="M10" s="124">
        <f t="shared" si="2"/>
        <v>9.8765432098765444</v>
      </c>
      <c r="N10" s="124">
        <f t="shared" si="3"/>
        <v>8.5</v>
      </c>
      <c r="O10" s="124">
        <f t="shared" si="4"/>
        <v>4.7058823529411882</v>
      </c>
    </row>
    <row r="11" spans="1:15" ht="30" x14ac:dyDescent="0.25">
      <c r="A11" s="127">
        <v>3</v>
      </c>
      <c r="B11" s="127" t="s">
        <v>227</v>
      </c>
      <c r="C11" s="71"/>
      <c r="D11" s="71"/>
      <c r="E11" s="79"/>
      <c r="F11" s="78"/>
      <c r="G11" s="79"/>
      <c r="H11" s="78"/>
      <c r="I11" s="79">
        <v>13</v>
      </c>
      <c r="J11" s="78">
        <f t="shared" si="0"/>
        <v>2.2000000000000002</v>
      </c>
      <c r="K11" s="79">
        <v>9</v>
      </c>
      <c r="L11" s="78">
        <f t="shared" si="1"/>
        <v>1.5</v>
      </c>
      <c r="M11" s="124">
        <f t="shared" si="2"/>
        <v>-31.818181818181827</v>
      </c>
      <c r="N11" s="124">
        <f t="shared" si="3"/>
        <v>1.9</v>
      </c>
      <c r="O11" s="124">
        <f t="shared" si="4"/>
        <v>-21.05263157894737</v>
      </c>
    </row>
    <row r="12" spans="1:15" ht="30" x14ac:dyDescent="0.25">
      <c r="A12" s="127">
        <v>4</v>
      </c>
      <c r="B12" s="127" t="s">
        <v>228</v>
      </c>
      <c r="C12" s="71"/>
      <c r="D12" s="71"/>
      <c r="E12" s="79"/>
      <c r="F12" s="78"/>
      <c r="G12" s="79"/>
      <c r="H12" s="78"/>
      <c r="I12" s="79">
        <v>36</v>
      </c>
      <c r="J12" s="78">
        <f t="shared" si="0"/>
        <v>6</v>
      </c>
      <c r="K12" s="79">
        <v>44</v>
      </c>
      <c r="L12" s="78">
        <f t="shared" si="1"/>
        <v>7.4</v>
      </c>
      <c r="M12" s="124">
        <f t="shared" si="2"/>
        <v>23.333333333333343</v>
      </c>
      <c r="N12" s="124">
        <f t="shared" si="3"/>
        <v>6.7</v>
      </c>
      <c r="O12" s="124">
        <f t="shared" si="4"/>
        <v>10.447761194029852</v>
      </c>
    </row>
    <row r="13" spans="1:15" ht="24" x14ac:dyDescent="0.25">
      <c r="A13" s="127">
        <v>5</v>
      </c>
      <c r="B13" s="127" t="s">
        <v>86</v>
      </c>
      <c r="C13" s="71"/>
      <c r="D13" s="71"/>
      <c r="E13" s="79"/>
      <c r="F13" s="78"/>
      <c r="G13" s="79"/>
      <c r="H13" s="78"/>
      <c r="I13" s="79">
        <v>6</v>
      </c>
      <c r="J13" s="78">
        <f t="shared" si="0"/>
        <v>1</v>
      </c>
      <c r="K13" s="79">
        <v>42</v>
      </c>
      <c r="L13" s="78">
        <f t="shared" si="1"/>
        <v>7.1</v>
      </c>
      <c r="M13" s="124" t="s">
        <v>288</v>
      </c>
      <c r="N13" s="124">
        <f t="shared" si="3"/>
        <v>4.0999999999999996</v>
      </c>
      <c r="O13" s="124">
        <f t="shared" si="4"/>
        <v>73.17073170731706</v>
      </c>
    </row>
    <row r="14" spans="1:15" ht="36.75" customHeight="1" x14ac:dyDescent="0.25">
      <c r="A14" s="127">
        <v>6</v>
      </c>
      <c r="B14" s="127" t="s">
        <v>229</v>
      </c>
      <c r="C14" s="71"/>
      <c r="D14" s="71"/>
      <c r="E14" s="79"/>
      <c r="F14" s="78"/>
      <c r="G14" s="79"/>
      <c r="H14" s="78"/>
      <c r="I14" s="79">
        <v>0</v>
      </c>
      <c r="J14" s="78">
        <f t="shared" si="0"/>
        <v>0</v>
      </c>
      <c r="K14" s="79">
        <v>2</v>
      </c>
      <c r="L14" s="78">
        <f t="shared" si="1"/>
        <v>0.3</v>
      </c>
      <c r="M14" s="124">
        <v>100</v>
      </c>
      <c r="N14" s="124">
        <f t="shared" si="3"/>
        <v>0.2</v>
      </c>
      <c r="O14" s="124">
        <f t="shared" si="4"/>
        <v>49.999999999999972</v>
      </c>
    </row>
    <row r="15" spans="1:15" x14ac:dyDescent="0.25">
      <c r="A15" s="127">
        <v>7</v>
      </c>
      <c r="B15" s="127" t="s">
        <v>230</v>
      </c>
      <c r="C15" s="71"/>
      <c r="D15" s="71"/>
      <c r="E15" s="79"/>
      <c r="F15" s="78"/>
      <c r="G15" s="79"/>
      <c r="H15" s="78"/>
      <c r="I15" s="79">
        <v>0</v>
      </c>
      <c r="J15" s="78">
        <f t="shared" si="0"/>
        <v>0</v>
      </c>
      <c r="K15" s="79">
        <v>0</v>
      </c>
      <c r="L15" s="78">
        <f t="shared" si="1"/>
        <v>0</v>
      </c>
      <c r="M15" s="124">
        <v>0</v>
      </c>
      <c r="N15" s="124">
        <f t="shared" si="3"/>
        <v>0</v>
      </c>
      <c r="O15" s="124">
        <v>0</v>
      </c>
    </row>
    <row r="16" spans="1:15" ht="31.5" customHeight="1" x14ac:dyDescent="0.25">
      <c r="A16" s="127">
        <v>8</v>
      </c>
      <c r="B16" s="127" t="s">
        <v>89</v>
      </c>
      <c r="C16" s="71"/>
      <c r="D16" s="71"/>
      <c r="E16" s="79"/>
      <c r="F16" s="112"/>
      <c r="G16" s="79"/>
      <c r="H16" s="78"/>
      <c r="I16" s="79">
        <v>6034</v>
      </c>
      <c r="J16" s="78"/>
      <c r="K16" s="79">
        <v>5947</v>
      </c>
      <c r="L16" s="78"/>
      <c r="M16" s="71"/>
      <c r="N16" s="71"/>
      <c r="O16" s="80"/>
    </row>
  </sheetData>
  <mergeCells count="10">
    <mergeCell ref="I5:J5"/>
    <mergeCell ref="M5:M6"/>
    <mergeCell ref="N5:N6"/>
    <mergeCell ref="O5:O6"/>
    <mergeCell ref="A5:A6"/>
    <mergeCell ref="B5:B6"/>
    <mergeCell ref="G5:H5"/>
    <mergeCell ref="C5:D5"/>
    <mergeCell ref="E5:F5"/>
    <mergeCell ref="K5:L5"/>
  </mergeCells>
  <pageMargins left="0.98425196850393704" right="0.98425196850393704" top="0.98425196850393704" bottom="0.98425196850393704" header="0.51181102362204722" footer="0.51181102362204722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7"/>
  <sheetViews>
    <sheetView view="pageBreakPreview" zoomScaleNormal="90" zoomScaleSheetLayoutView="100" workbookViewId="0">
      <selection activeCell="A3" sqref="A3"/>
    </sheetView>
  </sheetViews>
  <sheetFormatPr defaultRowHeight="15" x14ac:dyDescent="0.25"/>
  <cols>
    <col min="1" max="1" width="3.5703125" customWidth="1"/>
    <col min="2" max="2" width="19.7109375" customWidth="1"/>
    <col min="3" max="12" width="7.140625" customWidth="1"/>
    <col min="13" max="15" width="8.85546875" customWidth="1"/>
  </cols>
  <sheetData>
    <row r="1" spans="1:15" x14ac:dyDescent="0.25">
      <c r="M1" s="10" t="s">
        <v>167</v>
      </c>
    </row>
    <row r="2" spans="1:15" x14ac:dyDescent="0.25">
      <c r="A2" s="3"/>
    </row>
    <row r="3" spans="1:15" x14ac:dyDescent="0.25">
      <c r="A3" s="16" t="s">
        <v>91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6"/>
    </row>
    <row r="5" spans="1:15" ht="45.75" customHeight="1" x14ac:dyDescent="0.25">
      <c r="A5" s="159" t="s">
        <v>0</v>
      </c>
      <c r="B5" s="159" t="s">
        <v>1</v>
      </c>
      <c r="C5" s="174">
        <v>2018</v>
      </c>
      <c r="D5" s="175"/>
      <c r="E5" s="174">
        <v>2019</v>
      </c>
      <c r="F5" s="175"/>
      <c r="G5" s="174">
        <v>2020</v>
      </c>
      <c r="H5" s="175"/>
      <c r="I5" s="174">
        <v>2021</v>
      </c>
      <c r="J5" s="175"/>
      <c r="K5" s="159">
        <v>2022</v>
      </c>
      <c r="L5" s="159"/>
      <c r="M5" s="159" t="s">
        <v>144</v>
      </c>
      <c r="N5" s="159" t="s">
        <v>109</v>
      </c>
      <c r="O5" s="159" t="s">
        <v>145</v>
      </c>
    </row>
    <row r="6" spans="1:15" x14ac:dyDescent="0.25">
      <c r="A6" s="159"/>
      <c r="B6" s="159"/>
      <c r="C6" s="98" t="s">
        <v>2</v>
      </c>
      <c r="D6" s="98" t="s">
        <v>3</v>
      </c>
      <c r="E6" s="98" t="s">
        <v>2</v>
      </c>
      <c r="F6" s="98" t="s">
        <v>3</v>
      </c>
      <c r="G6" s="98" t="s">
        <v>2</v>
      </c>
      <c r="H6" s="98" t="s">
        <v>3</v>
      </c>
      <c r="I6" s="98" t="s">
        <v>2</v>
      </c>
      <c r="J6" s="98" t="s">
        <v>3</v>
      </c>
      <c r="K6" s="98" t="s">
        <v>2</v>
      </c>
      <c r="L6" s="98" t="s">
        <v>3</v>
      </c>
      <c r="M6" s="159"/>
      <c r="N6" s="159"/>
      <c r="O6" s="159"/>
    </row>
    <row r="7" spans="1:15" ht="45" x14ac:dyDescent="0.25">
      <c r="A7" s="98"/>
      <c r="B7" s="98" t="s">
        <v>231</v>
      </c>
      <c r="C7" s="71"/>
      <c r="D7" s="71"/>
      <c r="E7" s="79"/>
      <c r="F7" s="78"/>
      <c r="G7" s="79"/>
      <c r="H7" s="78"/>
      <c r="I7" s="79">
        <v>57</v>
      </c>
      <c r="J7" s="78">
        <f>ROUND((I7*1000/6034),1)</f>
        <v>9.4</v>
      </c>
      <c r="K7" s="79">
        <v>79</v>
      </c>
      <c r="L7" s="78">
        <f>ROUND((K7*1000/5947),1)</f>
        <v>13.3</v>
      </c>
      <c r="M7" s="101">
        <f>L7/J7*100-100</f>
        <v>41.489361702127667</v>
      </c>
      <c r="N7" s="101">
        <f>ROUND((SUM(D7,F7,H7,J7,L7)/5),1)</f>
        <v>4.5</v>
      </c>
      <c r="O7" s="101" t="s">
        <v>263</v>
      </c>
    </row>
    <row r="8" spans="1:15" ht="24" x14ac:dyDescent="0.25">
      <c r="A8" s="98">
        <v>1</v>
      </c>
      <c r="B8" s="98" t="s">
        <v>232</v>
      </c>
      <c r="C8" s="71"/>
      <c r="D8" s="71"/>
      <c r="E8" s="79"/>
      <c r="F8" s="78"/>
      <c r="G8" s="79"/>
      <c r="H8" s="78"/>
      <c r="I8" s="79">
        <v>17</v>
      </c>
      <c r="J8" s="78">
        <f t="shared" ref="J8:J16" si="0">ROUND((I8*1000/6034),1)</f>
        <v>2.8</v>
      </c>
      <c r="K8" s="79">
        <v>28</v>
      </c>
      <c r="L8" s="78">
        <f t="shared" ref="L8:L16" si="1">ROUND((K8*1000/5947),1)</f>
        <v>4.7</v>
      </c>
      <c r="M8" s="124">
        <f t="shared" ref="M8:M16" si="2">L8/J8*100-100</f>
        <v>67.85714285714289</v>
      </c>
      <c r="N8" s="124">
        <f t="shared" ref="N8:N16" si="3">ROUND((SUM(D8,F8,H8,J8,L8)/5),1)</f>
        <v>1.5</v>
      </c>
      <c r="O8" s="124" t="s">
        <v>290</v>
      </c>
    </row>
    <row r="9" spans="1:15" ht="30" x14ac:dyDescent="0.25">
      <c r="A9" s="98">
        <v>2</v>
      </c>
      <c r="B9" s="98" t="s">
        <v>20</v>
      </c>
      <c r="C9" s="71"/>
      <c r="D9" s="71"/>
      <c r="E9" s="79"/>
      <c r="F9" s="78"/>
      <c r="G9" s="79"/>
      <c r="H9" s="78"/>
      <c r="I9" s="79">
        <v>0</v>
      </c>
      <c r="J9" s="78">
        <f t="shared" si="0"/>
        <v>0</v>
      </c>
      <c r="K9" s="79">
        <v>0</v>
      </c>
      <c r="L9" s="78">
        <f t="shared" si="1"/>
        <v>0</v>
      </c>
      <c r="M9" s="124">
        <v>0</v>
      </c>
      <c r="N9" s="124">
        <f t="shared" si="3"/>
        <v>0</v>
      </c>
      <c r="O9" s="124">
        <v>0</v>
      </c>
    </row>
    <row r="10" spans="1:15" ht="45" x14ac:dyDescent="0.25">
      <c r="A10" s="98">
        <v>3</v>
      </c>
      <c r="B10" s="98" t="s">
        <v>92</v>
      </c>
      <c r="C10" s="71"/>
      <c r="D10" s="71"/>
      <c r="E10" s="79"/>
      <c r="F10" s="78"/>
      <c r="G10" s="79"/>
      <c r="H10" s="78"/>
      <c r="I10" s="79">
        <v>4</v>
      </c>
      <c r="J10" s="78">
        <f t="shared" si="0"/>
        <v>0.7</v>
      </c>
      <c r="K10" s="79">
        <v>3</v>
      </c>
      <c r="L10" s="78">
        <f t="shared" si="1"/>
        <v>0.5</v>
      </c>
      <c r="M10" s="124">
        <f t="shared" si="2"/>
        <v>-28.571428571428569</v>
      </c>
      <c r="N10" s="124">
        <f t="shared" si="3"/>
        <v>0.2</v>
      </c>
      <c r="O10" s="124" t="s">
        <v>265</v>
      </c>
    </row>
    <row r="11" spans="1:15" ht="45" x14ac:dyDescent="0.25">
      <c r="A11" s="98">
        <v>4</v>
      </c>
      <c r="B11" s="98" t="s">
        <v>28</v>
      </c>
      <c r="C11" s="71"/>
      <c r="D11" s="71"/>
      <c r="E11" s="79"/>
      <c r="F11" s="78"/>
      <c r="G11" s="79"/>
      <c r="H11" s="78"/>
      <c r="I11" s="79">
        <v>8</v>
      </c>
      <c r="J11" s="78">
        <f t="shared" si="0"/>
        <v>1.3</v>
      </c>
      <c r="K11" s="79">
        <v>6</v>
      </c>
      <c r="L11" s="78">
        <f t="shared" si="1"/>
        <v>1</v>
      </c>
      <c r="M11" s="124">
        <f t="shared" si="2"/>
        <v>-23.07692307692308</v>
      </c>
      <c r="N11" s="124">
        <f t="shared" si="3"/>
        <v>0.5</v>
      </c>
      <c r="O11" s="124" t="s">
        <v>263</v>
      </c>
    </row>
    <row r="12" spans="1:15" ht="30" x14ac:dyDescent="0.25">
      <c r="A12" s="98">
        <v>5</v>
      </c>
      <c r="B12" s="98" t="s">
        <v>233</v>
      </c>
      <c r="C12" s="71"/>
      <c r="D12" s="71"/>
      <c r="E12" s="79"/>
      <c r="F12" s="78"/>
      <c r="G12" s="79"/>
      <c r="H12" s="78"/>
      <c r="I12" s="79">
        <v>0</v>
      </c>
      <c r="J12" s="78">
        <f t="shared" si="0"/>
        <v>0</v>
      </c>
      <c r="K12" s="79">
        <v>2</v>
      </c>
      <c r="L12" s="78">
        <f t="shared" si="1"/>
        <v>0.3</v>
      </c>
      <c r="M12" s="124">
        <v>100</v>
      </c>
      <c r="N12" s="124">
        <f t="shared" si="3"/>
        <v>0.1</v>
      </c>
      <c r="O12" s="124" t="s">
        <v>263</v>
      </c>
    </row>
    <row r="13" spans="1:15" ht="30" x14ac:dyDescent="0.25">
      <c r="A13" s="98">
        <v>6</v>
      </c>
      <c r="B13" s="98" t="s">
        <v>94</v>
      </c>
      <c r="C13" s="71"/>
      <c r="D13" s="71"/>
      <c r="E13" s="79"/>
      <c r="F13" s="78"/>
      <c r="G13" s="79"/>
      <c r="H13" s="78"/>
      <c r="I13" s="79">
        <v>3</v>
      </c>
      <c r="J13" s="78">
        <f t="shared" si="0"/>
        <v>0.5</v>
      </c>
      <c r="K13" s="79">
        <v>2</v>
      </c>
      <c r="L13" s="78">
        <f t="shared" si="1"/>
        <v>0.3</v>
      </c>
      <c r="M13" s="124">
        <f t="shared" si="2"/>
        <v>-40</v>
      </c>
      <c r="N13" s="124">
        <f t="shared" si="3"/>
        <v>0.2</v>
      </c>
      <c r="O13" s="124">
        <f t="shared" ref="O13" si="4">L13/N13*100-100</f>
        <v>49.999999999999972</v>
      </c>
    </row>
    <row r="14" spans="1:15" ht="30" x14ac:dyDescent="0.25">
      <c r="A14" s="98">
        <v>7</v>
      </c>
      <c r="B14" s="98" t="s">
        <v>234</v>
      </c>
      <c r="C14" s="71"/>
      <c r="D14" s="71"/>
      <c r="E14" s="79"/>
      <c r="F14" s="78"/>
      <c r="G14" s="79"/>
      <c r="H14" s="78"/>
      <c r="I14" s="79">
        <v>0</v>
      </c>
      <c r="J14" s="78">
        <f t="shared" si="0"/>
        <v>0</v>
      </c>
      <c r="K14" s="79">
        <v>0</v>
      </c>
      <c r="L14" s="78">
        <f t="shared" si="1"/>
        <v>0</v>
      </c>
      <c r="M14" s="124">
        <v>0</v>
      </c>
      <c r="N14" s="124">
        <f t="shared" si="3"/>
        <v>0</v>
      </c>
      <c r="O14" s="124">
        <v>0</v>
      </c>
    </row>
    <row r="15" spans="1:15" ht="24" x14ac:dyDescent="0.25">
      <c r="A15" s="98">
        <v>8</v>
      </c>
      <c r="B15" s="98" t="s">
        <v>93</v>
      </c>
      <c r="C15" s="71"/>
      <c r="D15" s="71"/>
      <c r="E15" s="79"/>
      <c r="F15" s="78"/>
      <c r="G15" s="79"/>
      <c r="H15" s="78"/>
      <c r="I15" s="79">
        <v>6</v>
      </c>
      <c r="J15" s="78">
        <f t="shared" si="0"/>
        <v>1</v>
      </c>
      <c r="K15" s="79">
        <v>26</v>
      </c>
      <c r="L15" s="78">
        <f t="shared" si="1"/>
        <v>4.4000000000000004</v>
      </c>
      <c r="M15" s="124" t="s">
        <v>289</v>
      </c>
      <c r="N15" s="124">
        <f t="shared" si="3"/>
        <v>1.1000000000000001</v>
      </c>
      <c r="O15" s="124" t="s">
        <v>262</v>
      </c>
    </row>
    <row r="16" spans="1:15" ht="30" x14ac:dyDescent="0.25">
      <c r="A16" s="111"/>
      <c r="B16" s="98" t="s">
        <v>235</v>
      </c>
      <c r="C16" s="71"/>
      <c r="D16" s="71"/>
      <c r="E16" s="79"/>
      <c r="F16" s="78"/>
      <c r="G16" s="79"/>
      <c r="H16" s="78"/>
      <c r="I16" s="79">
        <v>2</v>
      </c>
      <c r="J16" s="78">
        <f t="shared" si="0"/>
        <v>0.3</v>
      </c>
      <c r="K16" s="79">
        <v>2</v>
      </c>
      <c r="L16" s="78">
        <f t="shared" si="1"/>
        <v>0.3</v>
      </c>
      <c r="M16" s="124">
        <f t="shared" si="2"/>
        <v>0</v>
      </c>
      <c r="N16" s="124">
        <f t="shared" si="3"/>
        <v>0.1</v>
      </c>
      <c r="O16" s="124" t="s">
        <v>263</v>
      </c>
    </row>
    <row r="17" spans="1:15" ht="45" x14ac:dyDescent="0.25">
      <c r="A17" s="111"/>
      <c r="B17" s="98" t="s">
        <v>236</v>
      </c>
      <c r="C17" s="71">
        <v>6118</v>
      </c>
      <c r="D17" s="71"/>
      <c r="E17" s="112">
        <v>6215</v>
      </c>
      <c r="F17" s="112"/>
      <c r="G17" s="79">
        <v>6120</v>
      </c>
      <c r="H17" s="112"/>
      <c r="I17" s="79">
        <v>6034</v>
      </c>
      <c r="J17" s="112"/>
      <c r="K17" s="79">
        <v>5947</v>
      </c>
      <c r="L17" s="112"/>
      <c r="M17" s="112"/>
      <c r="N17" s="112"/>
      <c r="O17" s="112"/>
    </row>
  </sheetData>
  <mergeCells count="10">
    <mergeCell ref="M5:M6"/>
    <mergeCell ref="N5:N6"/>
    <mergeCell ref="O5:O6"/>
    <mergeCell ref="K5:L5"/>
    <mergeCell ref="A5:A6"/>
    <mergeCell ref="B5:B6"/>
    <mergeCell ref="I5:J5"/>
    <mergeCell ref="C5:D5"/>
    <mergeCell ref="E5:F5"/>
    <mergeCell ref="G5:H5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7"/>
  <sheetViews>
    <sheetView view="pageBreakPreview" zoomScaleNormal="100" zoomScaleSheetLayoutView="100" workbookViewId="0">
      <selection activeCell="O13" sqref="O13"/>
    </sheetView>
  </sheetViews>
  <sheetFormatPr defaultColWidth="9.140625" defaultRowHeight="12.75" x14ac:dyDescent="0.2"/>
  <cols>
    <col min="1" max="1" width="39.85546875" style="8" customWidth="1"/>
    <col min="2" max="2" width="5.85546875" style="8" customWidth="1"/>
    <col min="3" max="5" width="6" style="8" customWidth="1"/>
    <col min="6" max="6" width="6.28515625" style="8" customWidth="1"/>
    <col min="7" max="7" width="10.28515625" style="8" customWidth="1"/>
    <col min="8" max="9" width="7.140625" style="8" customWidth="1"/>
    <col min="10" max="14" width="5.85546875" style="8" customWidth="1"/>
    <col min="15" max="15" width="14.5703125" style="8" customWidth="1"/>
    <col min="16" max="16" width="6.28515625" style="8" customWidth="1"/>
    <col min="17" max="17" width="10.28515625" style="8" bestFit="1" customWidth="1"/>
    <col min="18" max="16384" width="9.140625" style="8"/>
  </cols>
  <sheetData>
    <row r="1" spans="1:19" x14ac:dyDescent="0.2">
      <c r="P1" s="22" t="s">
        <v>168</v>
      </c>
    </row>
    <row r="2" spans="1:19" x14ac:dyDescent="0.2">
      <c r="A2" s="23" t="s">
        <v>180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9" ht="38.25" customHeight="1" x14ac:dyDescent="0.2">
      <c r="A3" s="166" t="s">
        <v>55</v>
      </c>
      <c r="B3" s="166" t="s">
        <v>179</v>
      </c>
      <c r="C3" s="166"/>
      <c r="D3" s="166"/>
      <c r="E3" s="166"/>
      <c r="F3" s="166"/>
      <c r="G3" s="166" t="s">
        <v>264</v>
      </c>
      <c r="H3" s="166" t="s">
        <v>109</v>
      </c>
      <c r="I3" s="166" t="s">
        <v>267</v>
      </c>
      <c r="J3" s="166" t="s">
        <v>147</v>
      </c>
      <c r="K3" s="166"/>
      <c r="L3" s="166"/>
      <c r="M3" s="166"/>
      <c r="N3" s="166"/>
      <c r="O3" s="166" t="s">
        <v>264</v>
      </c>
      <c r="P3" s="166" t="s">
        <v>109</v>
      </c>
      <c r="Q3" s="166" t="s">
        <v>145</v>
      </c>
      <c r="R3" s="8" t="s">
        <v>268</v>
      </c>
      <c r="S3" s="8" t="s">
        <v>269</v>
      </c>
    </row>
    <row r="4" spans="1:19" x14ac:dyDescent="0.2">
      <c r="A4" s="166"/>
      <c r="B4" s="69">
        <v>2018</v>
      </c>
      <c r="C4" s="69">
        <v>2019</v>
      </c>
      <c r="D4" s="69">
        <v>2020</v>
      </c>
      <c r="E4" s="69">
        <v>2021</v>
      </c>
      <c r="F4" s="69">
        <v>2022</v>
      </c>
      <c r="G4" s="166"/>
      <c r="H4" s="166"/>
      <c r="I4" s="166"/>
      <c r="J4" s="69">
        <v>2018</v>
      </c>
      <c r="K4" s="69">
        <v>2019</v>
      </c>
      <c r="L4" s="69">
        <v>2020</v>
      </c>
      <c r="M4" s="69">
        <v>2021</v>
      </c>
      <c r="N4" s="69">
        <v>2022</v>
      </c>
      <c r="O4" s="166"/>
      <c r="P4" s="166"/>
      <c r="Q4" s="166"/>
    </row>
    <row r="5" spans="1:19" ht="15" x14ac:dyDescent="0.2">
      <c r="A5" s="93" t="s">
        <v>58</v>
      </c>
      <c r="B5" s="128">
        <v>1766.6</v>
      </c>
      <c r="C5" s="122">
        <v>2081.04</v>
      </c>
      <c r="D5" s="122">
        <v>2179.5</v>
      </c>
      <c r="E5" s="122">
        <v>286.60000000000002</v>
      </c>
      <c r="F5" s="122">
        <f>ROUND((R5/1605*1000),1)</f>
        <v>2484.1</v>
      </c>
      <c r="G5" s="121">
        <f>F5/E5</f>
        <v>8.6674808094905789</v>
      </c>
      <c r="H5" s="121">
        <f>SUM(B5,C5,D5,E5,F5)/5</f>
        <v>1759.568</v>
      </c>
      <c r="I5" s="121">
        <f>F5/H5*100-100</f>
        <v>41.176697916761384</v>
      </c>
      <c r="J5" s="128">
        <v>1493.5</v>
      </c>
      <c r="K5" s="120">
        <v>1634.2</v>
      </c>
      <c r="L5" s="120">
        <v>1566.4</v>
      </c>
      <c r="M5" s="120">
        <v>205.4</v>
      </c>
      <c r="N5" s="122">
        <f>ROUND((S5/1605*1000),1)</f>
        <v>2224.9</v>
      </c>
      <c r="O5" s="121">
        <f>N5/M5</f>
        <v>10.832035053554041</v>
      </c>
      <c r="P5" s="121">
        <f>SUM(J5,K5,L5,M5,N5)/5</f>
        <v>1424.8799999999999</v>
      </c>
      <c r="Q5" s="140">
        <f>N5/P5*100-100</f>
        <v>56.146482510807942</v>
      </c>
      <c r="R5" s="8">
        <v>3987</v>
      </c>
      <c r="S5" s="8">
        <v>3571</v>
      </c>
    </row>
    <row r="6" spans="1:19" ht="29.25" thickBot="1" x14ac:dyDescent="0.25">
      <c r="A6" s="56" t="s">
        <v>237</v>
      </c>
      <c r="B6" s="128">
        <v>47.4</v>
      </c>
      <c r="C6" s="122">
        <v>53.7</v>
      </c>
      <c r="D6" s="131">
        <v>71</v>
      </c>
      <c r="E6" s="122">
        <v>10.8</v>
      </c>
      <c r="F6" s="122">
        <f t="shared" ref="F6:F22" si="0">ROUND((R6/1605*1000),1)</f>
        <v>28.7</v>
      </c>
      <c r="G6" s="121">
        <f t="shared" ref="G6:G22" si="1">F6/E6</f>
        <v>2.657407407407407</v>
      </c>
      <c r="H6" s="121">
        <f t="shared" ref="H6:H22" si="2">SUM(B6,C6,D6,E6,F6)/5</f>
        <v>42.32</v>
      </c>
      <c r="I6" s="121">
        <f t="shared" ref="I6:I22" si="3">F6/H6*100-100</f>
        <v>-32.183364839319466</v>
      </c>
      <c r="J6" s="128">
        <v>44.9</v>
      </c>
      <c r="K6" s="120">
        <v>50.3</v>
      </c>
      <c r="L6" s="113">
        <v>57.6</v>
      </c>
      <c r="M6" s="120">
        <v>10.8</v>
      </c>
      <c r="N6" s="122">
        <f t="shared" ref="N6:N22" si="4">ROUND((S6/1605*1000),1)</f>
        <v>24.3</v>
      </c>
      <c r="O6" s="121">
        <f t="shared" ref="O6:O21" si="5">N6/M6</f>
        <v>2.25</v>
      </c>
      <c r="P6" s="121">
        <f t="shared" ref="P6:P22" si="6">SUM(J6,K6,L6,M6,N6)/5</f>
        <v>37.58</v>
      </c>
      <c r="Q6" s="140">
        <f t="shared" ref="Q6:Q22" si="7">N6/P6*100-100</f>
        <v>-35.337945715806271</v>
      </c>
      <c r="R6" s="8">
        <v>46</v>
      </c>
      <c r="S6" s="8">
        <v>39</v>
      </c>
    </row>
    <row r="7" spans="1:19" ht="14.25" x14ac:dyDescent="0.2">
      <c r="A7" s="114" t="s">
        <v>59</v>
      </c>
      <c r="B7" s="128">
        <v>3.7</v>
      </c>
      <c r="C7" s="120">
        <v>5.3</v>
      </c>
      <c r="D7" s="120">
        <v>5.5</v>
      </c>
      <c r="E7" s="120">
        <v>0</v>
      </c>
      <c r="F7" s="122">
        <f t="shared" si="0"/>
        <v>10</v>
      </c>
      <c r="G7" s="121">
        <v>1</v>
      </c>
      <c r="H7" s="121">
        <f t="shared" si="2"/>
        <v>4.9000000000000004</v>
      </c>
      <c r="I7" s="121">
        <f t="shared" si="3"/>
        <v>104.08163265306123</v>
      </c>
      <c r="J7" s="128">
        <v>1.2</v>
      </c>
      <c r="K7" s="120">
        <v>2.2999999999999998</v>
      </c>
      <c r="L7" s="120">
        <v>2.5</v>
      </c>
      <c r="M7" s="120">
        <v>0</v>
      </c>
      <c r="N7" s="122">
        <f t="shared" si="4"/>
        <v>8.1</v>
      </c>
      <c r="O7" s="121">
        <v>1</v>
      </c>
      <c r="P7" s="121">
        <f t="shared" si="6"/>
        <v>2.82</v>
      </c>
      <c r="Q7" s="140">
        <f t="shared" si="7"/>
        <v>187.2340425531915</v>
      </c>
      <c r="R7" s="8">
        <v>16</v>
      </c>
      <c r="S7" s="8">
        <v>13</v>
      </c>
    </row>
    <row r="8" spans="1:19" ht="42.75" x14ac:dyDescent="0.2">
      <c r="A8" s="114" t="s">
        <v>60</v>
      </c>
      <c r="B8" s="128">
        <v>10.1</v>
      </c>
      <c r="C8" s="120">
        <v>11</v>
      </c>
      <c r="D8" s="120">
        <v>14</v>
      </c>
      <c r="E8" s="120">
        <v>6.8</v>
      </c>
      <c r="F8" s="122">
        <f t="shared" si="0"/>
        <v>18.100000000000001</v>
      </c>
      <c r="G8" s="121">
        <f t="shared" si="1"/>
        <v>2.6617647058823533</v>
      </c>
      <c r="H8" s="121">
        <f t="shared" si="2"/>
        <v>12</v>
      </c>
      <c r="I8" s="121">
        <f t="shared" si="3"/>
        <v>50.833333333333343</v>
      </c>
      <c r="J8" s="128">
        <v>4.0999999999999996</v>
      </c>
      <c r="K8" s="120">
        <v>3.4</v>
      </c>
      <c r="L8" s="120">
        <v>4.7</v>
      </c>
      <c r="M8" s="120">
        <v>0.6</v>
      </c>
      <c r="N8" s="122">
        <f t="shared" si="4"/>
        <v>7.5</v>
      </c>
      <c r="O8" s="121">
        <f t="shared" si="5"/>
        <v>12.5</v>
      </c>
      <c r="P8" s="121">
        <f t="shared" si="6"/>
        <v>4.0599999999999996</v>
      </c>
      <c r="Q8" s="140">
        <f t="shared" si="7"/>
        <v>84.729064039408883</v>
      </c>
      <c r="R8" s="8">
        <v>29</v>
      </c>
      <c r="S8" s="8">
        <v>12</v>
      </c>
    </row>
    <row r="9" spans="1:19" ht="42.75" x14ac:dyDescent="0.2">
      <c r="A9" s="114" t="s">
        <v>61</v>
      </c>
      <c r="B9" s="128">
        <v>50.9</v>
      </c>
      <c r="C9" s="129">
        <v>55.1</v>
      </c>
      <c r="D9" s="129">
        <v>61.1</v>
      </c>
      <c r="E9" s="129">
        <v>9.6</v>
      </c>
      <c r="F9" s="122">
        <f t="shared" si="0"/>
        <v>36.799999999999997</v>
      </c>
      <c r="G9" s="121">
        <f t="shared" si="1"/>
        <v>3.833333333333333</v>
      </c>
      <c r="H9" s="121">
        <f t="shared" si="2"/>
        <v>42.7</v>
      </c>
      <c r="I9" s="121">
        <f t="shared" si="3"/>
        <v>-13.817330210772852</v>
      </c>
      <c r="J9" s="128">
        <v>12.8</v>
      </c>
      <c r="K9" s="129">
        <v>13.9</v>
      </c>
      <c r="L9" s="129">
        <v>7.7</v>
      </c>
      <c r="M9" s="129">
        <v>0.6</v>
      </c>
      <c r="N9" s="122">
        <f t="shared" si="4"/>
        <v>14.3</v>
      </c>
      <c r="O9" s="121">
        <f t="shared" si="5"/>
        <v>23.833333333333336</v>
      </c>
      <c r="P9" s="121">
        <f t="shared" si="6"/>
        <v>9.860000000000003</v>
      </c>
      <c r="Q9" s="140">
        <f t="shared" si="7"/>
        <v>45.030425963488796</v>
      </c>
      <c r="R9" s="8">
        <v>59</v>
      </c>
      <c r="S9" s="8">
        <v>23</v>
      </c>
    </row>
    <row r="10" spans="1:19" ht="28.5" x14ac:dyDescent="0.2">
      <c r="A10" s="114" t="s">
        <v>62</v>
      </c>
      <c r="B10" s="128">
        <v>15.3</v>
      </c>
      <c r="C10" s="129">
        <v>11.9</v>
      </c>
      <c r="D10" s="129">
        <v>11.1</v>
      </c>
      <c r="E10" s="129">
        <v>1.1000000000000001</v>
      </c>
      <c r="F10" s="122">
        <f t="shared" si="0"/>
        <v>0</v>
      </c>
      <c r="G10" s="121">
        <f t="shared" si="1"/>
        <v>0</v>
      </c>
      <c r="H10" s="121">
        <f t="shared" si="2"/>
        <v>7.8800000000000008</v>
      </c>
      <c r="I10" s="121">
        <f t="shared" si="3"/>
        <v>-100</v>
      </c>
      <c r="J10" s="128">
        <v>1.6</v>
      </c>
      <c r="K10" s="129">
        <v>1.9</v>
      </c>
      <c r="L10" s="129">
        <v>2.2000000000000002</v>
      </c>
      <c r="M10" s="129">
        <v>1.1000000000000001</v>
      </c>
      <c r="N10" s="122">
        <f t="shared" si="4"/>
        <v>0</v>
      </c>
      <c r="O10" s="121">
        <v>-100</v>
      </c>
      <c r="P10" s="121">
        <f t="shared" si="6"/>
        <v>1.36</v>
      </c>
      <c r="Q10" s="140">
        <f t="shared" si="7"/>
        <v>-100</v>
      </c>
      <c r="R10" s="8">
        <v>0</v>
      </c>
      <c r="S10" s="8">
        <v>0</v>
      </c>
    </row>
    <row r="11" spans="1:19" ht="14.25" x14ac:dyDescent="0.2">
      <c r="A11" s="114" t="s">
        <v>63</v>
      </c>
      <c r="B11" s="128">
        <v>113.8</v>
      </c>
      <c r="C11" s="129">
        <v>98.5</v>
      </c>
      <c r="D11" s="129">
        <v>94.4</v>
      </c>
      <c r="E11" s="129">
        <v>1.1000000000000001</v>
      </c>
      <c r="F11" s="122">
        <f t="shared" si="0"/>
        <v>151.4</v>
      </c>
      <c r="G11" s="121">
        <f t="shared" si="1"/>
        <v>137.63636363636363</v>
      </c>
      <c r="H11" s="121">
        <f t="shared" si="2"/>
        <v>91.84</v>
      </c>
      <c r="I11" s="121">
        <f t="shared" si="3"/>
        <v>64.851916376306633</v>
      </c>
      <c r="J11" s="128">
        <v>51.1</v>
      </c>
      <c r="K11" s="129">
        <v>44.8</v>
      </c>
      <c r="L11" s="129">
        <v>40.799999999999997</v>
      </c>
      <c r="M11" s="129">
        <v>3.4</v>
      </c>
      <c r="N11" s="122">
        <f t="shared" si="4"/>
        <v>52.3</v>
      </c>
      <c r="O11" s="121">
        <f t="shared" si="5"/>
        <v>15.382352941176471</v>
      </c>
      <c r="P11" s="121">
        <f t="shared" si="6"/>
        <v>38.479999999999997</v>
      </c>
      <c r="Q11" s="140">
        <f t="shared" si="7"/>
        <v>35.914760914760905</v>
      </c>
      <c r="R11" s="8">
        <v>243</v>
      </c>
      <c r="S11" s="8">
        <v>84</v>
      </c>
    </row>
    <row r="12" spans="1:19" ht="28.5" x14ac:dyDescent="0.2">
      <c r="A12" s="114" t="s">
        <v>64</v>
      </c>
      <c r="B12" s="128">
        <v>88.2</v>
      </c>
      <c r="C12" s="129">
        <v>101.9</v>
      </c>
      <c r="D12" s="129">
        <v>110</v>
      </c>
      <c r="E12" s="129">
        <v>13.1</v>
      </c>
      <c r="F12" s="122">
        <f t="shared" si="0"/>
        <v>49.2</v>
      </c>
      <c r="G12" s="121">
        <f t="shared" si="1"/>
        <v>3.7557251908396951</v>
      </c>
      <c r="H12" s="121">
        <f t="shared" si="2"/>
        <v>72.48</v>
      </c>
      <c r="I12" s="121">
        <f t="shared" si="3"/>
        <v>-32.119205298013242</v>
      </c>
      <c r="J12" s="128">
        <v>54.3</v>
      </c>
      <c r="K12" s="129">
        <v>54.8</v>
      </c>
      <c r="L12" s="129">
        <v>23.4</v>
      </c>
      <c r="M12" s="129">
        <v>1.1000000000000001</v>
      </c>
      <c r="N12" s="122">
        <f t="shared" si="4"/>
        <v>39.9</v>
      </c>
      <c r="O12" s="121">
        <f t="shared" si="5"/>
        <v>36.272727272727266</v>
      </c>
      <c r="P12" s="121">
        <f t="shared" si="6"/>
        <v>34.700000000000003</v>
      </c>
      <c r="Q12" s="140">
        <f t="shared" si="7"/>
        <v>14.985590778097986</v>
      </c>
      <c r="R12" s="8">
        <v>79</v>
      </c>
      <c r="S12" s="8">
        <v>64</v>
      </c>
    </row>
    <row r="13" spans="1:19" ht="14.25" x14ac:dyDescent="0.2">
      <c r="A13" s="114" t="s">
        <v>65</v>
      </c>
      <c r="B13" s="128">
        <v>41</v>
      </c>
      <c r="C13" s="129">
        <v>41.9</v>
      </c>
      <c r="D13" s="129">
        <v>47.4</v>
      </c>
      <c r="E13" s="129">
        <v>7.9</v>
      </c>
      <c r="F13" s="122">
        <f t="shared" si="0"/>
        <v>16.8</v>
      </c>
      <c r="G13" s="121">
        <f t="shared" si="1"/>
        <v>2.1265822784810124</v>
      </c>
      <c r="H13" s="121">
        <f t="shared" si="2"/>
        <v>31.000000000000007</v>
      </c>
      <c r="I13" s="121">
        <f t="shared" si="3"/>
        <v>-45.806451612903231</v>
      </c>
      <c r="J13" s="128">
        <v>37.799999999999997</v>
      </c>
      <c r="K13" s="129">
        <v>40.1</v>
      </c>
      <c r="L13" s="129">
        <v>45</v>
      </c>
      <c r="M13" s="129">
        <v>7.9</v>
      </c>
      <c r="N13" s="122">
        <f t="shared" si="4"/>
        <v>11.8</v>
      </c>
      <c r="O13" s="121">
        <f t="shared" si="5"/>
        <v>1.4936708860759493</v>
      </c>
      <c r="P13" s="121">
        <f t="shared" si="6"/>
        <v>28.520000000000003</v>
      </c>
      <c r="Q13" s="140">
        <f t="shared" si="7"/>
        <v>-58.625525946704073</v>
      </c>
      <c r="R13" s="8">
        <v>27</v>
      </c>
      <c r="S13" s="8">
        <v>19</v>
      </c>
    </row>
    <row r="14" spans="1:19" ht="14.25" x14ac:dyDescent="0.2">
      <c r="A14" s="114" t="s">
        <v>66</v>
      </c>
      <c r="B14" s="128">
        <v>21.7</v>
      </c>
      <c r="C14" s="129">
        <v>23.2</v>
      </c>
      <c r="D14" s="129">
        <v>27.4</v>
      </c>
      <c r="E14" s="129">
        <v>5.0999999999999996</v>
      </c>
      <c r="F14" s="122">
        <f t="shared" si="0"/>
        <v>1.9</v>
      </c>
      <c r="G14" s="121">
        <f t="shared" si="1"/>
        <v>0.37254901960784315</v>
      </c>
      <c r="H14" s="121">
        <f t="shared" si="2"/>
        <v>15.86</v>
      </c>
      <c r="I14" s="121">
        <f t="shared" si="3"/>
        <v>-88.020176544766713</v>
      </c>
      <c r="J14" s="128">
        <v>18.8</v>
      </c>
      <c r="K14" s="129">
        <v>18.2</v>
      </c>
      <c r="L14" s="129">
        <v>0</v>
      </c>
      <c r="M14" s="129">
        <v>0</v>
      </c>
      <c r="N14" s="122">
        <f t="shared" si="4"/>
        <v>1.9</v>
      </c>
      <c r="O14" s="121">
        <v>100</v>
      </c>
      <c r="P14" s="121">
        <f t="shared" si="6"/>
        <v>7.7799999999999994</v>
      </c>
      <c r="Q14" s="140">
        <f t="shared" si="7"/>
        <v>-75.578406169665811</v>
      </c>
      <c r="R14" s="8">
        <v>3</v>
      </c>
      <c r="S14" s="8">
        <v>3</v>
      </c>
    </row>
    <row r="15" spans="1:19" ht="14.25" x14ac:dyDescent="0.2">
      <c r="A15" s="114" t="s">
        <v>67</v>
      </c>
      <c r="B15" s="128">
        <v>1002.1</v>
      </c>
      <c r="C15" s="129">
        <v>1290</v>
      </c>
      <c r="D15" s="129">
        <v>1329</v>
      </c>
      <c r="E15" s="129">
        <v>168.6</v>
      </c>
      <c r="F15" s="122">
        <f t="shared" si="0"/>
        <v>1757</v>
      </c>
      <c r="G15" s="121">
        <f t="shared" si="1"/>
        <v>10.42111506524318</v>
      </c>
      <c r="H15" s="121">
        <f t="shared" si="2"/>
        <v>1109.3399999999999</v>
      </c>
      <c r="I15" s="121">
        <f t="shared" si="3"/>
        <v>58.382461643860324</v>
      </c>
      <c r="J15" s="128">
        <v>962.6</v>
      </c>
      <c r="K15" s="129">
        <v>1103.7</v>
      </c>
      <c r="L15" s="129">
        <v>1133.9000000000001</v>
      </c>
      <c r="M15" s="129">
        <v>160.6</v>
      </c>
      <c r="N15" s="122">
        <f t="shared" si="4"/>
        <v>1745.8</v>
      </c>
      <c r="O15" s="121">
        <f t="shared" si="5"/>
        <v>10.870485678704856</v>
      </c>
      <c r="P15" s="121">
        <f t="shared" si="6"/>
        <v>1021.32</v>
      </c>
      <c r="Q15" s="140">
        <f t="shared" si="7"/>
        <v>70.935651901460858</v>
      </c>
      <c r="R15" s="8">
        <v>2820</v>
      </c>
      <c r="S15" s="8">
        <v>2802</v>
      </c>
    </row>
    <row r="16" spans="1:19" ht="14.25" x14ac:dyDescent="0.2">
      <c r="A16" s="114" t="s">
        <v>68</v>
      </c>
      <c r="B16" s="128">
        <v>68.099999999999994</v>
      </c>
      <c r="C16" s="129">
        <v>66.2</v>
      </c>
      <c r="D16" s="129">
        <v>68.099999999999994</v>
      </c>
      <c r="E16" s="129">
        <v>12.5</v>
      </c>
      <c r="F16" s="122">
        <f t="shared" si="0"/>
        <v>121.5</v>
      </c>
      <c r="G16" s="121">
        <f t="shared" si="1"/>
        <v>9.7200000000000006</v>
      </c>
      <c r="H16" s="121">
        <f t="shared" si="2"/>
        <v>67.28</v>
      </c>
      <c r="I16" s="121">
        <f t="shared" si="3"/>
        <v>80.588585017835896</v>
      </c>
      <c r="J16" s="128">
        <v>51.8</v>
      </c>
      <c r="K16" s="129">
        <v>46.2</v>
      </c>
      <c r="L16" s="129">
        <v>19.7</v>
      </c>
      <c r="M16" s="129">
        <v>0.6</v>
      </c>
      <c r="N16" s="122">
        <f t="shared" si="4"/>
        <v>105.9</v>
      </c>
      <c r="O16" s="121">
        <f t="shared" si="5"/>
        <v>176.50000000000003</v>
      </c>
      <c r="P16" s="121">
        <f t="shared" si="6"/>
        <v>44.839999999999996</v>
      </c>
      <c r="Q16" s="140">
        <f t="shared" si="7"/>
        <v>136.17305976806423</v>
      </c>
      <c r="R16" s="8">
        <v>195</v>
      </c>
      <c r="S16" s="8">
        <v>170</v>
      </c>
    </row>
    <row r="17" spans="1:19" ht="28.5" x14ac:dyDescent="0.2">
      <c r="A17" s="114" t="s">
        <v>69</v>
      </c>
      <c r="B17" s="128">
        <v>93.5</v>
      </c>
      <c r="C17" s="129">
        <v>98.5</v>
      </c>
      <c r="D17" s="129">
        <v>94.4</v>
      </c>
      <c r="E17" s="129">
        <v>9.1</v>
      </c>
      <c r="F17" s="122">
        <f t="shared" si="0"/>
        <v>28.7</v>
      </c>
      <c r="G17" s="121">
        <f t="shared" si="1"/>
        <v>3.1538461538461537</v>
      </c>
      <c r="H17" s="121">
        <f t="shared" si="2"/>
        <v>64.84</v>
      </c>
      <c r="I17" s="121">
        <f t="shared" si="3"/>
        <v>-55.737199259716228</v>
      </c>
      <c r="J17" s="128">
        <v>73.099999999999994</v>
      </c>
      <c r="K17" s="129">
        <v>70.7</v>
      </c>
      <c r="L17" s="129">
        <v>61.3</v>
      </c>
      <c r="M17" s="129">
        <v>0</v>
      </c>
      <c r="N17" s="122">
        <f t="shared" si="4"/>
        <v>21.8</v>
      </c>
      <c r="O17" s="121">
        <v>100</v>
      </c>
      <c r="P17" s="121">
        <f t="shared" si="6"/>
        <v>45.38000000000001</v>
      </c>
      <c r="Q17" s="140">
        <f t="shared" si="7"/>
        <v>-51.961216394887629</v>
      </c>
      <c r="R17" s="8">
        <v>46</v>
      </c>
      <c r="S17" s="8">
        <v>35</v>
      </c>
    </row>
    <row r="18" spans="1:19" ht="28.5" x14ac:dyDescent="0.2">
      <c r="A18" s="114" t="s">
        <v>70</v>
      </c>
      <c r="B18" s="128">
        <v>46.7</v>
      </c>
      <c r="C18" s="129">
        <v>46.2</v>
      </c>
      <c r="D18" s="129">
        <v>51.4</v>
      </c>
      <c r="E18" s="129">
        <v>5.7</v>
      </c>
      <c r="F18" s="122">
        <f t="shared" si="0"/>
        <v>55.5</v>
      </c>
      <c r="G18" s="121">
        <f t="shared" si="1"/>
        <v>9.7368421052631575</v>
      </c>
      <c r="H18" s="121">
        <f t="shared" si="2"/>
        <v>41.1</v>
      </c>
      <c r="I18" s="121">
        <f t="shared" si="3"/>
        <v>35.036496350364956</v>
      </c>
      <c r="J18" s="128">
        <v>36.700000000000003</v>
      </c>
      <c r="K18" s="129">
        <v>36</v>
      </c>
      <c r="L18" s="129">
        <v>36</v>
      </c>
      <c r="M18" s="129">
        <v>1.1000000000000001</v>
      </c>
      <c r="N18" s="122">
        <f t="shared" si="4"/>
        <v>25.5</v>
      </c>
      <c r="O18" s="121">
        <f t="shared" si="5"/>
        <v>23.18181818181818</v>
      </c>
      <c r="P18" s="121">
        <f t="shared" si="6"/>
        <v>27.060000000000002</v>
      </c>
      <c r="Q18" s="140">
        <f t="shared" si="7"/>
        <v>-5.7649667405765115</v>
      </c>
      <c r="R18" s="8">
        <v>89</v>
      </c>
      <c r="S18" s="8">
        <v>41</v>
      </c>
    </row>
    <row r="19" spans="1:19" ht="14.25" x14ac:dyDescent="0.2">
      <c r="A19" s="114" t="s">
        <v>71</v>
      </c>
      <c r="B19" s="128">
        <v>40.1</v>
      </c>
      <c r="C19" s="129">
        <v>52.1</v>
      </c>
      <c r="D19" s="129">
        <v>60.2</v>
      </c>
      <c r="E19" s="129">
        <v>10.8</v>
      </c>
      <c r="F19" s="122">
        <f t="shared" si="0"/>
        <v>28.7</v>
      </c>
      <c r="G19" s="121">
        <f t="shared" si="1"/>
        <v>2.657407407407407</v>
      </c>
      <c r="H19" s="121">
        <f t="shared" si="2"/>
        <v>38.380000000000003</v>
      </c>
      <c r="I19" s="121">
        <f t="shared" si="3"/>
        <v>-25.22146951537259</v>
      </c>
      <c r="J19" s="128">
        <v>35</v>
      </c>
      <c r="K19" s="129">
        <v>34.299999999999997</v>
      </c>
      <c r="L19" s="129">
        <v>34.4</v>
      </c>
      <c r="M19" s="129">
        <v>2.2999999999999998</v>
      </c>
      <c r="N19" s="122">
        <f t="shared" si="4"/>
        <v>10.6</v>
      </c>
      <c r="O19" s="121">
        <f t="shared" si="5"/>
        <v>4.6086956521739131</v>
      </c>
      <c r="P19" s="121">
        <f t="shared" si="6"/>
        <v>23.319999999999997</v>
      </c>
      <c r="Q19" s="140">
        <f t="shared" si="7"/>
        <v>-54.54545454545454</v>
      </c>
      <c r="R19" s="8">
        <v>46</v>
      </c>
      <c r="S19" s="8">
        <v>17</v>
      </c>
    </row>
    <row r="20" spans="1:19" ht="28.5" x14ac:dyDescent="0.2">
      <c r="A20" s="114" t="s">
        <v>72</v>
      </c>
      <c r="B20" s="128">
        <v>0.7</v>
      </c>
      <c r="C20" s="129">
        <v>0</v>
      </c>
      <c r="D20" s="129">
        <v>0</v>
      </c>
      <c r="E20" s="129">
        <v>0</v>
      </c>
      <c r="F20" s="122">
        <f t="shared" si="0"/>
        <v>0</v>
      </c>
      <c r="G20" s="121">
        <v>0</v>
      </c>
      <c r="H20" s="121">
        <f t="shared" si="2"/>
        <v>0.13999999999999999</v>
      </c>
      <c r="I20" s="121">
        <f t="shared" si="3"/>
        <v>-100</v>
      </c>
      <c r="J20" s="128">
        <v>0</v>
      </c>
      <c r="K20" s="129">
        <v>0</v>
      </c>
      <c r="L20" s="129">
        <v>0</v>
      </c>
      <c r="M20" s="129">
        <v>0</v>
      </c>
      <c r="N20" s="122">
        <f t="shared" si="4"/>
        <v>0</v>
      </c>
      <c r="O20" s="121">
        <v>0</v>
      </c>
      <c r="P20" s="121">
        <f t="shared" si="6"/>
        <v>0</v>
      </c>
      <c r="Q20" s="140">
        <v>0</v>
      </c>
      <c r="R20" s="8">
        <v>0</v>
      </c>
      <c r="S20" s="8">
        <v>0</v>
      </c>
    </row>
    <row r="21" spans="1:19" ht="28.5" x14ac:dyDescent="0.2">
      <c r="A21" s="114" t="s">
        <v>73</v>
      </c>
      <c r="B21" s="128">
        <v>20.8</v>
      </c>
      <c r="C21" s="129">
        <v>20.5</v>
      </c>
      <c r="D21" s="129">
        <v>23.6</v>
      </c>
      <c r="E21" s="129">
        <v>2.2999999999999998</v>
      </c>
      <c r="F21" s="122">
        <f t="shared" si="0"/>
        <v>2.5</v>
      </c>
      <c r="G21" s="121">
        <f t="shared" si="1"/>
        <v>1.0869565217391306</v>
      </c>
      <c r="H21" s="121">
        <f t="shared" si="2"/>
        <v>13.940000000000001</v>
      </c>
      <c r="I21" s="121">
        <f t="shared" si="3"/>
        <v>-82.065997130559538</v>
      </c>
      <c r="J21" s="128">
        <v>20.8</v>
      </c>
      <c r="K21" s="129">
        <v>20.5</v>
      </c>
      <c r="L21" s="129">
        <v>23.6</v>
      </c>
      <c r="M21" s="129">
        <v>2.2999999999999998</v>
      </c>
      <c r="N21" s="122">
        <f t="shared" si="4"/>
        <v>2.5</v>
      </c>
      <c r="O21" s="121">
        <f t="shared" si="5"/>
        <v>1.0869565217391306</v>
      </c>
      <c r="P21" s="121">
        <f t="shared" si="6"/>
        <v>13.940000000000001</v>
      </c>
      <c r="Q21" s="140">
        <f t="shared" si="7"/>
        <v>-82.065997130559538</v>
      </c>
      <c r="R21" s="8">
        <v>4</v>
      </c>
      <c r="S21" s="8">
        <v>4</v>
      </c>
    </row>
    <row r="22" spans="1:19" ht="42.75" x14ac:dyDescent="0.2">
      <c r="A22" s="114" t="s">
        <v>74</v>
      </c>
      <c r="B22" s="128">
        <v>16.5</v>
      </c>
      <c r="C22" s="129">
        <v>15.5</v>
      </c>
      <c r="D22" s="129">
        <v>17.5</v>
      </c>
      <c r="E22" s="129">
        <v>1.1000000000000001</v>
      </c>
      <c r="F22" s="122">
        <f t="shared" si="0"/>
        <v>27.4</v>
      </c>
      <c r="G22" s="121">
        <f t="shared" si="1"/>
        <v>24.909090909090907</v>
      </c>
      <c r="H22" s="121">
        <f t="shared" si="2"/>
        <v>15.6</v>
      </c>
      <c r="I22" s="121">
        <f t="shared" si="3"/>
        <v>75.641025641025635</v>
      </c>
      <c r="J22" s="128">
        <v>0.2</v>
      </c>
      <c r="K22" s="129">
        <v>3.9</v>
      </c>
      <c r="L22" s="129">
        <v>3.6</v>
      </c>
      <c r="M22" s="129">
        <v>0</v>
      </c>
      <c r="N22" s="122">
        <f t="shared" si="4"/>
        <v>1.9</v>
      </c>
      <c r="O22" s="121">
        <v>100</v>
      </c>
      <c r="P22" s="121">
        <f t="shared" si="6"/>
        <v>1.92</v>
      </c>
      <c r="Q22" s="140">
        <f t="shared" si="7"/>
        <v>-1.0416666666666572</v>
      </c>
      <c r="R22" s="8">
        <v>44</v>
      </c>
      <c r="S22" s="8">
        <v>3</v>
      </c>
    </row>
    <row r="23" spans="1:19" ht="15" x14ac:dyDescent="0.2">
      <c r="A23" s="115"/>
      <c r="B23" s="105"/>
      <c r="C23" s="105"/>
      <c r="D23" s="110"/>
      <c r="E23" s="110"/>
      <c r="F23" s="110"/>
      <c r="G23" s="116"/>
      <c r="H23" s="116"/>
      <c r="I23" s="116"/>
      <c r="J23" s="176" t="s">
        <v>254</v>
      </c>
      <c r="K23" s="176"/>
      <c r="L23" s="176"/>
      <c r="M23" s="176"/>
      <c r="N23" s="176"/>
      <c r="O23" s="176"/>
      <c r="P23" s="176"/>
      <c r="Q23" s="62"/>
    </row>
    <row r="24" spans="1:19" ht="37.5" customHeight="1" x14ac:dyDescent="0.2">
      <c r="A24" s="166" t="s">
        <v>55</v>
      </c>
      <c r="B24" s="166" t="s">
        <v>179</v>
      </c>
      <c r="C24" s="166"/>
      <c r="D24" s="166"/>
      <c r="E24" s="166"/>
      <c r="F24" s="166"/>
      <c r="G24" s="166" t="s">
        <v>264</v>
      </c>
      <c r="H24" s="166" t="s">
        <v>109</v>
      </c>
      <c r="I24" s="166" t="s">
        <v>267</v>
      </c>
      <c r="J24" s="166" t="s">
        <v>147</v>
      </c>
      <c r="K24" s="166"/>
      <c r="L24" s="166"/>
      <c r="M24" s="166"/>
      <c r="N24" s="166"/>
      <c r="O24" s="166" t="s">
        <v>264</v>
      </c>
      <c r="P24" s="166" t="s">
        <v>109</v>
      </c>
      <c r="Q24" s="166" t="s">
        <v>267</v>
      </c>
    </row>
    <row r="25" spans="1:19" x14ac:dyDescent="0.2">
      <c r="A25" s="166"/>
      <c r="B25" s="69">
        <v>2018</v>
      </c>
      <c r="C25" s="69">
        <v>2019</v>
      </c>
      <c r="D25" s="69">
        <v>2020</v>
      </c>
      <c r="E25" s="69">
        <v>2021</v>
      </c>
      <c r="F25" s="69">
        <v>2022</v>
      </c>
      <c r="G25" s="166"/>
      <c r="H25" s="166"/>
      <c r="I25" s="166"/>
      <c r="J25" s="69">
        <v>2018</v>
      </c>
      <c r="K25" s="69">
        <v>2019</v>
      </c>
      <c r="L25" s="69">
        <v>2020</v>
      </c>
      <c r="M25" s="69">
        <v>2021</v>
      </c>
      <c r="N25" s="69">
        <v>2022</v>
      </c>
      <c r="O25" s="166"/>
      <c r="P25" s="166"/>
      <c r="Q25" s="166"/>
    </row>
    <row r="26" spans="1:19" ht="70.5" customHeight="1" x14ac:dyDescent="0.2">
      <c r="A26" s="114" t="s">
        <v>84</v>
      </c>
      <c r="B26" s="128">
        <v>3.7</v>
      </c>
      <c r="C26" s="129">
        <v>4.0999999999999996</v>
      </c>
      <c r="D26" s="129">
        <v>4.9000000000000004</v>
      </c>
      <c r="E26" s="129">
        <v>2.8</v>
      </c>
      <c r="F26" s="122">
        <f t="shared" ref="F26:F27" si="8">ROUND((R26/1605*1000),1)</f>
        <v>0</v>
      </c>
      <c r="G26" s="121">
        <f>F26/E26</f>
        <v>0</v>
      </c>
      <c r="H26" s="121">
        <f t="shared" ref="H26:H27" si="9">SUM(B26,C26,D26,E26,F26)/5</f>
        <v>3.1</v>
      </c>
      <c r="I26" s="121">
        <f t="shared" ref="I26:I27" si="10">F26/H26*100-100</f>
        <v>-100</v>
      </c>
      <c r="J26" s="128">
        <v>3.7</v>
      </c>
      <c r="K26" s="129">
        <v>4.0999999999999996</v>
      </c>
      <c r="L26" s="129">
        <v>4.9000000000000004</v>
      </c>
      <c r="M26" s="129">
        <v>2.8</v>
      </c>
      <c r="N26" s="122">
        <f t="shared" ref="N26:N27" si="11">ROUND((S26/1605*1000),1)</f>
        <v>0</v>
      </c>
      <c r="O26" s="121">
        <v>-100</v>
      </c>
      <c r="P26" s="121">
        <f t="shared" ref="P26:P27" si="12">SUM(J26,K26,L26,M26,N26)/5</f>
        <v>3.1</v>
      </c>
      <c r="Q26" s="140">
        <f t="shared" ref="Q26:Q27" si="13">N26/P26*100-100</f>
        <v>-100</v>
      </c>
      <c r="R26" s="8">
        <v>0</v>
      </c>
      <c r="S26" s="8">
        <v>0</v>
      </c>
    </row>
    <row r="27" spans="1:19" ht="42.75" x14ac:dyDescent="0.2">
      <c r="A27" s="114" t="s">
        <v>85</v>
      </c>
      <c r="B27" s="128">
        <v>83.1</v>
      </c>
      <c r="C27" s="129">
        <v>84.8</v>
      </c>
      <c r="D27" s="129">
        <v>91.3</v>
      </c>
      <c r="E27" s="129">
        <v>10.199999999999999</v>
      </c>
      <c r="F27" s="122">
        <f t="shared" si="8"/>
        <v>69.2</v>
      </c>
      <c r="G27" s="121">
        <f>F27/E27</f>
        <v>6.7843137254901968</v>
      </c>
      <c r="H27" s="121">
        <f t="shared" si="9"/>
        <v>67.72</v>
      </c>
      <c r="I27" s="121">
        <f t="shared" si="10"/>
        <v>2.1854695806261049</v>
      </c>
      <c r="J27" s="128">
        <v>83.1</v>
      </c>
      <c r="K27" s="129">
        <v>84.8</v>
      </c>
      <c r="L27" s="129">
        <v>91.3</v>
      </c>
      <c r="M27" s="129">
        <v>10.199999999999999</v>
      </c>
      <c r="N27" s="122">
        <f t="shared" si="11"/>
        <v>69.2</v>
      </c>
      <c r="O27" s="121">
        <f t="shared" ref="O27" si="14">N27/M27</f>
        <v>6.7843137254901968</v>
      </c>
      <c r="P27" s="121">
        <f t="shared" si="12"/>
        <v>67.72</v>
      </c>
      <c r="Q27" s="140">
        <f t="shared" si="13"/>
        <v>2.1854695806261049</v>
      </c>
      <c r="R27" s="8">
        <v>111</v>
      </c>
      <c r="S27" s="8">
        <v>111</v>
      </c>
    </row>
  </sheetData>
  <mergeCells count="19">
    <mergeCell ref="B3:F3"/>
    <mergeCell ref="G24:G25"/>
    <mergeCell ref="H24:H25"/>
    <mergeCell ref="J24:N24"/>
    <mergeCell ref="A24:A25"/>
    <mergeCell ref="B24:F24"/>
    <mergeCell ref="A3:A4"/>
    <mergeCell ref="J3:N3"/>
    <mergeCell ref="G3:G4"/>
    <mergeCell ref="H3:H4"/>
    <mergeCell ref="Q3:Q4"/>
    <mergeCell ref="I3:I4"/>
    <mergeCell ref="I24:I25"/>
    <mergeCell ref="Q24:Q25"/>
    <mergeCell ref="O24:O25"/>
    <mergeCell ref="P24:P25"/>
    <mergeCell ref="J23:P23"/>
    <mergeCell ref="P3:P4"/>
    <mergeCell ref="O3:O4"/>
  </mergeCells>
  <pageMargins left="0.98425196850393704" right="0.98425196850393704" top="0.98425196850393704" bottom="0.98425196850393704" header="0.51181102362204722" footer="0.51181102362204722"/>
  <pageSetup paperSize="9" scale="79" fitToHeight="0" orientation="landscape" r:id="rId1"/>
  <rowBreaks count="1" manualBreakCount="1">
    <brk id="22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3"/>
  <sheetViews>
    <sheetView view="pageBreakPreview" zoomScale="117" zoomScaleSheetLayoutView="117" workbookViewId="0">
      <selection activeCell="N23" sqref="N23"/>
    </sheetView>
  </sheetViews>
  <sheetFormatPr defaultColWidth="9.140625" defaultRowHeight="12.75" x14ac:dyDescent="0.2"/>
  <cols>
    <col min="1" max="1" width="35.85546875" style="2" customWidth="1"/>
    <col min="2" max="5" width="6.28515625" style="2" customWidth="1"/>
    <col min="6" max="6" width="5.85546875" style="2" customWidth="1"/>
    <col min="7" max="7" width="6.5703125" style="2" customWidth="1"/>
    <col min="8" max="8" width="6.28515625" style="2" customWidth="1"/>
    <col min="9" max="9" width="9.140625" style="2"/>
    <col min="10" max="14" width="6.28515625" style="2" customWidth="1"/>
    <col min="15" max="15" width="8.28515625" style="2" customWidth="1"/>
    <col min="16" max="16" width="6.28515625" style="2" customWidth="1"/>
    <col min="17" max="16384" width="9.140625" style="2"/>
  </cols>
  <sheetData>
    <row r="1" spans="1:19" x14ac:dyDescent="0.2">
      <c r="P1" s="22" t="s">
        <v>169</v>
      </c>
    </row>
    <row r="2" spans="1:19" x14ac:dyDescent="0.2">
      <c r="A2" s="39" t="s">
        <v>146</v>
      </c>
      <c r="B2" s="40"/>
      <c r="C2" s="40"/>
      <c r="D2" s="40"/>
      <c r="E2" s="40"/>
      <c r="F2" s="40"/>
      <c r="G2" s="40"/>
      <c r="H2" s="40"/>
      <c r="J2" s="40"/>
      <c r="K2" s="40"/>
      <c r="L2" s="40"/>
      <c r="M2" s="40"/>
      <c r="N2" s="40"/>
      <c r="O2" s="40"/>
      <c r="P2" s="40"/>
    </row>
    <row r="3" spans="1:19" ht="31.15" customHeight="1" x14ac:dyDescent="0.2">
      <c r="A3" s="166" t="s">
        <v>55</v>
      </c>
      <c r="B3" s="166" t="s">
        <v>56</v>
      </c>
      <c r="C3" s="166"/>
      <c r="D3" s="166"/>
      <c r="E3" s="166"/>
      <c r="F3" s="166"/>
      <c r="G3" s="166" t="s">
        <v>264</v>
      </c>
      <c r="H3" s="166" t="s">
        <v>109</v>
      </c>
      <c r="I3" s="167" t="s">
        <v>145</v>
      </c>
      <c r="J3" s="166" t="s">
        <v>147</v>
      </c>
      <c r="K3" s="166"/>
      <c r="L3" s="166"/>
      <c r="M3" s="166"/>
      <c r="N3" s="166"/>
      <c r="O3" s="166" t="s">
        <v>264</v>
      </c>
      <c r="P3" s="166" t="s">
        <v>109</v>
      </c>
      <c r="Q3" s="167" t="s">
        <v>145</v>
      </c>
    </row>
    <row r="4" spans="1:19" ht="30" customHeight="1" x14ac:dyDescent="0.2">
      <c r="A4" s="166"/>
      <c r="B4" s="128">
        <v>2018</v>
      </c>
      <c r="C4" s="129">
        <v>2019</v>
      </c>
      <c r="D4" s="129">
        <v>2020</v>
      </c>
      <c r="E4" s="129">
        <v>2021</v>
      </c>
      <c r="F4" s="129">
        <v>2022</v>
      </c>
      <c r="G4" s="166"/>
      <c r="H4" s="166"/>
      <c r="I4" s="167"/>
      <c r="J4" s="128">
        <v>2018</v>
      </c>
      <c r="K4" s="129">
        <v>2019</v>
      </c>
      <c r="L4" s="129">
        <v>2020</v>
      </c>
      <c r="M4" s="129">
        <v>2021</v>
      </c>
      <c r="N4" s="129">
        <v>2022</v>
      </c>
      <c r="O4" s="166"/>
      <c r="P4" s="166"/>
      <c r="Q4" s="167"/>
      <c r="R4" s="2" t="s">
        <v>268</v>
      </c>
      <c r="S4" s="2" t="s">
        <v>269</v>
      </c>
    </row>
    <row r="5" spans="1:19" x14ac:dyDescent="0.2">
      <c r="A5" s="72" t="s">
        <v>58</v>
      </c>
      <c r="B5" s="71">
        <v>1920.4</v>
      </c>
      <c r="C5" s="125">
        <v>2169.3000000000002</v>
      </c>
      <c r="D5" s="125">
        <v>2083</v>
      </c>
      <c r="E5" s="125">
        <v>201.9</v>
      </c>
      <c r="F5" s="125">
        <f>ROUND((R5/302*1000),1)</f>
        <v>2155.6</v>
      </c>
      <c r="G5" s="124">
        <f>F5/E5</f>
        <v>10.6765725606736</v>
      </c>
      <c r="H5" s="124">
        <f>SUM(B5,C5,D5,E5,F5)/5</f>
        <v>1706.0400000000002</v>
      </c>
      <c r="I5" s="141">
        <f>F5/H5*100-100</f>
        <v>26.351082037935797</v>
      </c>
      <c r="J5" s="71">
        <v>1179.2</v>
      </c>
      <c r="K5" s="125">
        <v>1318.3</v>
      </c>
      <c r="L5" s="125">
        <v>1230.0999999999999</v>
      </c>
      <c r="M5" s="125">
        <v>121.9</v>
      </c>
      <c r="N5" s="125">
        <f>ROUND((S5/302*1000),1)</f>
        <v>1817.9</v>
      </c>
      <c r="O5" s="124">
        <f>N5/M5</f>
        <v>14.913043478260869</v>
      </c>
      <c r="P5" s="124">
        <f>SUM(J5,K5,L5,M5,N5)/5</f>
        <v>1133.48</v>
      </c>
      <c r="Q5" s="141">
        <f>N5/P5*100-100</f>
        <v>60.382185834774333</v>
      </c>
      <c r="R5" s="125">
        <v>651</v>
      </c>
      <c r="S5" s="2">
        <v>549</v>
      </c>
    </row>
    <row r="6" spans="1:19" ht="24" x14ac:dyDescent="0.2">
      <c r="A6" s="126" t="s">
        <v>238</v>
      </c>
      <c r="B6" s="147">
        <v>43.1</v>
      </c>
      <c r="C6" s="125">
        <v>52.5</v>
      </c>
      <c r="D6" s="125">
        <v>55</v>
      </c>
      <c r="E6" s="125">
        <v>6.5</v>
      </c>
      <c r="F6" s="125">
        <f t="shared" ref="F6:F23" si="0">ROUND((R6/302*1000),1)</f>
        <v>3.3</v>
      </c>
      <c r="G6" s="124">
        <f t="shared" ref="G6:G23" si="1">F6/E6</f>
        <v>0.50769230769230766</v>
      </c>
      <c r="H6" s="124">
        <f t="shared" ref="H6:H23" si="2">SUM(B6,C6,D6,E6,F6)/5</f>
        <v>32.08</v>
      </c>
      <c r="I6" s="141">
        <f t="shared" ref="I6:I23" si="3">F6/H6*100-100</f>
        <v>-89.713216957605979</v>
      </c>
      <c r="J6" s="125">
        <v>43.1</v>
      </c>
      <c r="K6" s="125">
        <v>52.5</v>
      </c>
      <c r="L6" s="125">
        <v>55</v>
      </c>
      <c r="M6" s="125">
        <v>6.5</v>
      </c>
      <c r="N6" s="125">
        <f t="shared" ref="N6:N23" si="4">ROUND((S6/302*1000),1)</f>
        <v>3.3</v>
      </c>
      <c r="O6" s="124">
        <f t="shared" ref="O6:O23" si="5">N6/M6</f>
        <v>0.50769230769230766</v>
      </c>
      <c r="P6" s="124">
        <f>SUM(J6,K6,L6,M6,N6)/5</f>
        <v>32.08</v>
      </c>
      <c r="Q6" s="141">
        <f t="shared" ref="Q6:Q23" si="6">N6/P6*100-100</f>
        <v>-89.713216957605979</v>
      </c>
      <c r="R6" s="132">
        <v>1</v>
      </c>
      <c r="S6" s="2">
        <v>1</v>
      </c>
    </row>
    <row r="7" spans="1:19" x14ac:dyDescent="0.2">
      <c r="A7" s="126" t="s">
        <v>59</v>
      </c>
      <c r="B7" s="71">
        <v>17.7</v>
      </c>
      <c r="C7" s="125">
        <v>19.2</v>
      </c>
      <c r="D7" s="125">
        <v>22.2</v>
      </c>
      <c r="E7" s="125">
        <v>0</v>
      </c>
      <c r="F7" s="125">
        <f t="shared" si="0"/>
        <v>3.3</v>
      </c>
      <c r="G7" s="124">
        <v>100</v>
      </c>
      <c r="H7" s="124">
        <f t="shared" si="2"/>
        <v>12.479999999999999</v>
      </c>
      <c r="I7" s="141">
        <f t="shared" si="3"/>
        <v>-73.557692307692307</v>
      </c>
      <c r="J7" s="71">
        <v>6.6</v>
      </c>
      <c r="K7" s="125">
        <v>8.5</v>
      </c>
      <c r="L7" s="125">
        <v>12.5</v>
      </c>
      <c r="M7" s="125">
        <v>0</v>
      </c>
      <c r="N7" s="125">
        <f t="shared" si="4"/>
        <v>3.3</v>
      </c>
      <c r="O7" s="124">
        <v>100</v>
      </c>
      <c r="P7" s="124">
        <f t="shared" ref="P7:P11" si="7">SUM(J7,K7,L7,M7,N7)/5</f>
        <v>6.1800000000000006</v>
      </c>
      <c r="Q7" s="141">
        <f t="shared" si="6"/>
        <v>-46.60194174757283</v>
      </c>
      <c r="R7" s="125">
        <v>1</v>
      </c>
      <c r="S7" s="2">
        <v>1</v>
      </c>
    </row>
    <row r="8" spans="1:19" ht="36" x14ac:dyDescent="0.2">
      <c r="A8" s="126" t="s">
        <v>60</v>
      </c>
      <c r="B8" s="71">
        <v>19.899999999999999</v>
      </c>
      <c r="C8" s="125">
        <v>22.5</v>
      </c>
      <c r="D8" s="125">
        <v>23.2</v>
      </c>
      <c r="E8" s="125">
        <v>4.7</v>
      </c>
      <c r="F8" s="125">
        <f t="shared" si="0"/>
        <v>19.899999999999999</v>
      </c>
      <c r="G8" s="124">
        <f t="shared" si="1"/>
        <v>4.2340425531914887</v>
      </c>
      <c r="H8" s="124">
        <f t="shared" si="2"/>
        <v>18.04</v>
      </c>
      <c r="I8" s="141">
        <f t="shared" si="3"/>
        <v>10.31042128603103</v>
      </c>
      <c r="J8" s="71">
        <v>7.7</v>
      </c>
      <c r="K8" s="125">
        <v>6.4</v>
      </c>
      <c r="L8" s="125">
        <v>9.6</v>
      </c>
      <c r="M8" s="125">
        <v>0</v>
      </c>
      <c r="N8" s="125">
        <f t="shared" si="4"/>
        <v>0</v>
      </c>
      <c r="O8" s="124">
        <v>0</v>
      </c>
      <c r="P8" s="124">
        <f t="shared" si="7"/>
        <v>4.74</v>
      </c>
      <c r="Q8" s="141">
        <f t="shared" si="6"/>
        <v>-100</v>
      </c>
      <c r="R8" s="125">
        <v>6</v>
      </c>
      <c r="S8" s="2">
        <v>0</v>
      </c>
    </row>
    <row r="9" spans="1:19" ht="36" x14ac:dyDescent="0.2">
      <c r="A9" s="126" t="s">
        <v>61</v>
      </c>
      <c r="B9" s="71">
        <v>115</v>
      </c>
      <c r="C9" s="125">
        <v>123.5</v>
      </c>
      <c r="D9" s="125">
        <v>114.9</v>
      </c>
      <c r="E9" s="125">
        <v>5.6</v>
      </c>
      <c r="F9" s="125">
        <f t="shared" si="0"/>
        <v>49.7</v>
      </c>
      <c r="G9" s="124">
        <f t="shared" si="1"/>
        <v>8.8750000000000018</v>
      </c>
      <c r="H9" s="124">
        <f t="shared" si="2"/>
        <v>81.739999999999995</v>
      </c>
      <c r="I9" s="141">
        <f t="shared" si="3"/>
        <v>-39.197455346219712</v>
      </c>
      <c r="J9" s="71">
        <v>22.1</v>
      </c>
      <c r="K9" s="125">
        <v>25.7</v>
      </c>
      <c r="L9" s="125">
        <v>32.799999999999997</v>
      </c>
      <c r="M9" s="125">
        <v>0</v>
      </c>
      <c r="N9" s="125">
        <f t="shared" si="4"/>
        <v>19.899999999999999</v>
      </c>
      <c r="O9" s="124">
        <v>100</v>
      </c>
      <c r="P9" s="124">
        <f t="shared" si="7"/>
        <v>20.100000000000001</v>
      </c>
      <c r="Q9" s="141">
        <f t="shared" si="6"/>
        <v>-0.99502487562190822</v>
      </c>
      <c r="R9" s="44">
        <v>15</v>
      </c>
      <c r="S9" s="2">
        <v>6</v>
      </c>
    </row>
    <row r="10" spans="1:19" ht="24" x14ac:dyDescent="0.2">
      <c r="A10" s="126" t="s">
        <v>62</v>
      </c>
      <c r="B10" s="71">
        <v>54.2</v>
      </c>
      <c r="C10" s="125">
        <v>43.9</v>
      </c>
      <c r="D10" s="125">
        <v>26.1</v>
      </c>
      <c r="E10" s="125">
        <v>0.9</v>
      </c>
      <c r="F10" s="125">
        <f t="shared" si="0"/>
        <v>0</v>
      </c>
      <c r="G10" s="124">
        <f t="shared" si="1"/>
        <v>0</v>
      </c>
      <c r="H10" s="124">
        <f t="shared" si="2"/>
        <v>25.02</v>
      </c>
      <c r="I10" s="141">
        <f t="shared" si="3"/>
        <v>-100</v>
      </c>
      <c r="J10" s="71">
        <v>6.6</v>
      </c>
      <c r="K10" s="125">
        <v>5.3</v>
      </c>
      <c r="L10" s="125">
        <v>0.9</v>
      </c>
      <c r="M10" s="125">
        <v>0</v>
      </c>
      <c r="N10" s="125">
        <f t="shared" si="4"/>
        <v>0</v>
      </c>
      <c r="O10" s="124">
        <v>0</v>
      </c>
      <c r="P10" s="124">
        <f t="shared" si="7"/>
        <v>2.5599999999999996</v>
      </c>
      <c r="Q10" s="141">
        <f t="shared" si="6"/>
        <v>-100</v>
      </c>
      <c r="R10" s="44">
        <v>0</v>
      </c>
      <c r="S10" s="2">
        <v>0</v>
      </c>
    </row>
    <row r="11" spans="1:19" x14ac:dyDescent="0.2">
      <c r="A11" s="126" t="s">
        <v>63</v>
      </c>
      <c r="B11" s="71">
        <v>58.6</v>
      </c>
      <c r="C11" s="125">
        <v>52.5</v>
      </c>
      <c r="D11" s="125">
        <v>54.1</v>
      </c>
      <c r="E11" s="125">
        <v>3.7</v>
      </c>
      <c r="F11" s="125">
        <f t="shared" si="0"/>
        <v>178.8</v>
      </c>
      <c r="G11" s="124">
        <f t="shared" si="1"/>
        <v>48.324324324324323</v>
      </c>
      <c r="H11" s="124">
        <f t="shared" si="2"/>
        <v>69.539999999999992</v>
      </c>
      <c r="I11" s="141">
        <f t="shared" si="3"/>
        <v>157.11820534943922</v>
      </c>
      <c r="J11" s="71">
        <v>10</v>
      </c>
      <c r="K11" s="145">
        <v>12.8</v>
      </c>
      <c r="L11" s="145">
        <v>8.6999999999999993</v>
      </c>
      <c r="M11" s="146">
        <v>0</v>
      </c>
      <c r="N11" s="125">
        <f t="shared" si="4"/>
        <v>96</v>
      </c>
      <c r="O11" s="124">
        <v>100</v>
      </c>
      <c r="P11" s="124">
        <f t="shared" si="7"/>
        <v>25.5</v>
      </c>
      <c r="Q11" s="141">
        <f t="shared" si="6"/>
        <v>276.47058823529409</v>
      </c>
      <c r="R11" s="44">
        <v>54</v>
      </c>
      <c r="S11" s="2">
        <v>29</v>
      </c>
    </row>
    <row r="12" spans="1:19" x14ac:dyDescent="0.2">
      <c r="A12" s="126" t="s">
        <v>64</v>
      </c>
      <c r="B12" s="71">
        <v>180.3</v>
      </c>
      <c r="C12" s="125">
        <v>197.2</v>
      </c>
      <c r="D12" s="125">
        <v>197.1</v>
      </c>
      <c r="E12" s="125">
        <v>15.8</v>
      </c>
      <c r="F12" s="125">
        <f t="shared" si="0"/>
        <v>86.1</v>
      </c>
      <c r="G12" s="124">
        <f t="shared" si="1"/>
        <v>5.4493670886075947</v>
      </c>
      <c r="H12" s="124">
        <f t="shared" si="2"/>
        <v>135.30000000000001</v>
      </c>
      <c r="I12" s="141">
        <f t="shared" si="3"/>
        <v>-36.363636363636374</v>
      </c>
      <c r="J12" s="71">
        <v>45.4</v>
      </c>
      <c r="K12" s="125">
        <v>47.1</v>
      </c>
      <c r="L12" s="125">
        <v>47.3</v>
      </c>
      <c r="M12" s="125">
        <v>7.4</v>
      </c>
      <c r="N12" s="125">
        <f t="shared" si="4"/>
        <v>46.4</v>
      </c>
      <c r="O12" s="124">
        <f t="shared" si="5"/>
        <v>6.2702702702702702</v>
      </c>
      <c r="P12" s="124">
        <f t="shared" ref="P12:P14" si="8">SUM(J12,K12,L12,M12,N12)/5</f>
        <v>38.720000000000006</v>
      </c>
      <c r="Q12" s="141">
        <f t="shared" si="6"/>
        <v>19.834710743801637</v>
      </c>
      <c r="R12" s="44">
        <v>26</v>
      </c>
      <c r="S12" s="2">
        <v>14</v>
      </c>
    </row>
    <row r="13" spans="1:19" x14ac:dyDescent="0.2">
      <c r="A13" s="126" t="s">
        <v>65</v>
      </c>
      <c r="B13" s="71">
        <v>46.5</v>
      </c>
      <c r="C13" s="125">
        <v>42.8</v>
      </c>
      <c r="D13" s="125">
        <v>45.4</v>
      </c>
      <c r="E13" s="125">
        <v>8.4</v>
      </c>
      <c r="F13" s="125">
        <f t="shared" si="0"/>
        <v>9.9</v>
      </c>
      <c r="G13" s="124">
        <f t="shared" si="1"/>
        <v>1.1785714285714286</v>
      </c>
      <c r="H13" s="124">
        <f t="shared" si="2"/>
        <v>30.6</v>
      </c>
      <c r="I13" s="141">
        <f t="shared" si="3"/>
        <v>-67.64705882352942</v>
      </c>
      <c r="J13" s="71">
        <v>39.799999999999997</v>
      </c>
      <c r="K13" s="125">
        <v>34.299999999999997</v>
      </c>
      <c r="L13" s="125">
        <v>37.700000000000003</v>
      </c>
      <c r="M13" s="125">
        <v>8.4</v>
      </c>
      <c r="N13" s="125">
        <f t="shared" si="4"/>
        <v>6.6</v>
      </c>
      <c r="O13" s="124">
        <f t="shared" si="5"/>
        <v>0.78571428571428559</v>
      </c>
      <c r="P13" s="124">
        <f t="shared" si="8"/>
        <v>25.36</v>
      </c>
      <c r="Q13" s="141">
        <f t="shared" si="6"/>
        <v>-73.97476340694007</v>
      </c>
      <c r="R13" s="44">
        <v>3</v>
      </c>
      <c r="S13" s="2">
        <v>2</v>
      </c>
    </row>
    <row r="14" spans="1:19" x14ac:dyDescent="0.2">
      <c r="A14" s="126" t="s">
        <v>66</v>
      </c>
      <c r="B14" s="71">
        <v>42</v>
      </c>
      <c r="C14" s="125">
        <v>45</v>
      </c>
      <c r="D14" s="125">
        <v>45.4</v>
      </c>
      <c r="E14" s="125">
        <v>7.4</v>
      </c>
      <c r="F14" s="125">
        <f t="shared" si="0"/>
        <v>0</v>
      </c>
      <c r="G14" s="124">
        <f t="shared" si="1"/>
        <v>0</v>
      </c>
      <c r="H14" s="124">
        <f t="shared" si="2"/>
        <v>27.96</v>
      </c>
      <c r="I14" s="141">
        <f t="shared" si="3"/>
        <v>-100</v>
      </c>
      <c r="J14" s="71">
        <v>10</v>
      </c>
      <c r="K14" s="125">
        <v>10.7</v>
      </c>
      <c r="L14" s="125">
        <v>0</v>
      </c>
      <c r="M14" s="125">
        <v>0</v>
      </c>
      <c r="N14" s="125">
        <f t="shared" si="4"/>
        <v>0</v>
      </c>
      <c r="O14" s="124">
        <v>0</v>
      </c>
      <c r="P14" s="124">
        <f t="shared" si="8"/>
        <v>4.1399999999999997</v>
      </c>
      <c r="Q14" s="141">
        <f t="shared" si="6"/>
        <v>-100</v>
      </c>
      <c r="R14" s="44">
        <v>0</v>
      </c>
      <c r="S14" s="2">
        <v>0</v>
      </c>
    </row>
    <row r="15" spans="1:19" x14ac:dyDescent="0.2">
      <c r="A15" s="126" t="s">
        <v>67</v>
      </c>
      <c r="B15" s="71">
        <v>684.7</v>
      </c>
      <c r="C15" s="125">
        <v>758.8</v>
      </c>
      <c r="D15" s="125">
        <v>736.2</v>
      </c>
      <c r="E15" s="125">
        <v>67.900000000000006</v>
      </c>
      <c r="F15" s="125">
        <f t="shared" si="0"/>
        <v>1215.2</v>
      </c>
      <c r="G15" s="124">
        <f t="shared" si="1"/>
        <v>17.896907216494846</v>
      </c>
      <c r="H15" s="124">
        <f t="shared" si="2"/>
        <v>692.56000000000006</v>
      </c>
      <c r="I15" s="141">
        <f t="shared" si="3"/>
        <v>75.46494166570406</v>
      </c>
      <c r="J15" s="71">
        <v>523.20000000000005</v>
      </c>
      <c r="K15" s="125">
        <v>580.9</v>
      </c>
      <c r="L15" s="125">
        <v>542</v>
      </c>
      <c r="M15" s="125">
        <v>49.3</v>
      </c>
      <c r="N15" s="125">
        <f t="shared" si="4"/>
        <v>1172.2</v>
      </c>
      <c r="O15" s="124">
        <f t="shared" si="5"/>
        <v>23.776876267748481</v>
      </c>
      <c r="P15" s="124">
        <f t="shared" ref="P15:P18" si="9">SUM(J15,K15,L15,M15,N15)/5</f>
        <v>573.52</v>
      </c>
      <c r="Q15" s="141">
        <f t="shared" si="6"/>
        <v>104.38694378574417</v>
      </c>
      <c r="R15" s="44">
        <v>367</v>
      </c>
      <c r="S15" s="2">
        <v>354</v>
      </c>
    </row>
    <row r="16" spans="1:19" x14ac:dyDescent="0.2">
      <c r="A16" s="126" t="s">
        <v>68</v>
      </c>
      <c r="B16" s="71">
        <v>61.9</v>
      </c>
      <c r="C16" s="125">
        <v>110.4</v>
      </c>
      <c r="D16" s="125">
        <v>106.2</v>
      </c>
      <c r="E16" s="125">
        <v>6.5</v>
      </c>
      <c r="F16" s="125">
        <f t="shared" si="0"/>
        <v>129.1</v>
      </c>
      <c r="G16" s="124">
        <f t="shared" si="1"/>
        <v>19.861538461538462</v>
      </c>
      <c r="H16" s="124">
        <f t="shared" si="2"/>
        <v>82.820000000000007</v>
      </c>
      <c r="I16" s="141">
        <f t="shared" si="3"/>
        <v>55.880222168558305</v>
      </c>
      <c r="J16" s="71">
        <v>15.5</v>
      </c>
      <c r="K16" s="125">
        <v>52.5</v>
      </c>
      <c r="L16" s="125">
        <v>23.2</v>
      </c>
      <c r="M16" s="125">
        <v>0.9</v>
      </c>
      <c r="N16" s="125">
        <f t="shared" si="4"/>
        <v>89.4</v>
      </c>
      <c r="O16" s="124">
        <f t="shared" si="5"/>
        <v>99.333333333333343</v>
      </c>
      <c r="P16" s="124">
        <f t="shared" si="9"/>
        <v>36.299999999999997</v>
      </c>
      <c r="Q16" s="141">
        <f t="shared" si="6"/>
        <v>146.28099173553721</v>
      </c>
      <c r="R16" s="123">
        <v>39</v>
      </c>
      <c r="S16" s="2">
        <v>27</v>
      </c>
    </row>
    <row r="17" spans="1:19" x14ac:dyDescent="0.2">
      <c r="A17" s="126" t="s">
        <v>69</v>
      </c>
      <c r="B17" s="71">
        <v>168.1</v>
      </c>
      <c r="C17" s="125">
        <v>165</v>
      </c>
      <c r="D17" s="125">
        <v>155.5</v>
      </c>
      <c r="E17" s="125">
        <v>6.5</v>
      </c>
      <c r="F17" s="125">
        <f t="shared" si="0"/>
        <v>49.7</v>
      </c>
      <c r="G17" s="124">
        <f t="shared" si="1"/>
        <v>7.6461538461538465</v>
      </c>
      <c r="H17" s="124">
        <f t="shared" si="2"/>
        <v>108.96000000000001</v>
      </c>
      <c r="I17" s="141">
        <f t="shared" si="3"/>
        <v>-54.386930983847279</v>
      </c>
      <c r="J17" s="71">
        <v>104</v>
      </c>
      <c r="K17" s="125">
        <v>103.9</v>
      </c>
      <c r="L17" s="125">
        <v>91.8</v>
      </c>
      <c r="M17" s="125">
        <v>0.9</v>
      </c>
      <c r="N17" s="125">
        <f t="shared" si="4"/>
        <v>33.1</v>
      </c>
      <c r="O17" s="124">
        <f t="shared" si="5"/>
        <v>36.777777777777779</v>
      </c>
      <c r="P17" s="124">
        <f t="shared" si="9"/>
        <v>66.739999999999995</v>
      </c>
      <c r="Q17" s="141">
        <f t="shared" si="6"/>
        <v>-50.404554989511531</v>
      </c>
      <c r="R17" s="44">
        <v>15</v>
      </c>
      <c r="S17" s="2">
        <v>10</v>
      </c>
    </row>
    <row r="18" spans="1:19" ht="24" x14ac:dyDescent="0.2">
      <c r="A18" s="126" t="s">
        <v>70</v>
      </c>
      <c r="B18" s="71">
        <v>68.599999999999994</v>
      </c>
      <c r="C18" s="125">
        <v>80.400000000000006</v>
      </c>
      <c r="D18" s="125">
        <v>84</v>
      </c>
      <c r="E18" s="125">
        <v>8.4</v>
      </c>
      <c r="F18" s="125">
        <f t="shared" si="0"/>
        <v>72.8</v>
      </c>
      <c r="G18" s="124">
        <f t="shared" si="1"/>
        <v>8.6666666666666661</v>
      </c>
      <c r="H18" s="124">
        <f t="shared" si="2"/>
        <v>62.839999999999996</v>
      </c>
      <c r="I18" s="141">
        <f t="shared" si="3"/>
        <v>15.849777211966895</v>
      </c>
      <c r="J18" s="71">
        <v>27.7</v>
      </c>
      <c r="K18" s="125">
        <v>54.6</v>
      </c>
      <c r="L18" s="125">
        <v>15.4</v>
      </c>
      <c r="M18" s="125">
        <v>0</v>
      </c>
      <c r="N18" s="125">
        <f t="shared" si="4"/>
        <v>53</v>
      </c>
      <c r="O18" s="124">
        <v>100</v>
      </c>
      <c r="P18" s="124">
        <f t="shared" si="9"/>
        <v>30.139999999999997</v>
      </c>
      <c r="Q18" s="141">
        <f t="shared" si="6"/>
        <v>75.846051758460533</v>
      </c>
      <c r="R18" s="44">
        <v>22</v>
      </c>
      <c r="S18" s="2">
        <v>16</v>
      </c>
    </row>
    <row r="19" spans="1:19" x14ac:dyDescent="0.2">
      <c r="A19" s="126" t="s">
        <v>71</v>
      </c>
      <c r="B19" s="71">
        <v>107.3</v>
      </c>
      <c r="C19" s="125">
        <v>110.4</v>
      </c>
      <c r="D19" s="125">
        <v>102.4</v>
      </c>
      <c r="E19" s="125">
        <v>19.5</v>
      </c>
      <c r="F19" s="125">
        <f t="shared" si="0"/>
        <v>53</v>
      </c>
      <c r="G19" s="124">
        <f t="shared" si="1"/>
        <v>2.7179487179487181</v>
      </c>
      <c r="H19" s="124">
        <f t="shared" si="2"/>
        <v>78.52000000000001</v>
      </c>
      <c r="I19" s="141">
        <f t="shared" si="3"/>
        <v>-32.501273560876214</v>
      </c>
      <c r="J19" s="71">
        <v>71.900000000000006</v>
      </c>
      <c r="K19" s="125">
        <v>50.3</v>
      </c>
      <c r="L19" s="125">
        <v>48.3</v>
      </c>
      <c r="M19" s="125">
        <v>84</v>
      </c>
      <c r="N19" s="125">
        <f t="shared" si="4"/>
        <v>53</v>
      </c>
      <c r="O19" s="124">
        <f t="shared" si="5"/>
        <v>0.63095238095238093</v>
      </c>
      <c r="P19" s="124">
        <f t="shared" ref="P19:P23" si="10">SUM(J19,K19,L19,M19,N19)/5</f>
        <v>61.5</v>
      </c>
      <c r="Q19" s="141">
        <f t="shared" si="6"/>
        <v>-13.821138211382106</v>
      </c>
      <c r="R19" s="44">
        <v>16</v>
      </c>
      <c r="S19" s="2">
        <v>16</v>
      </c>
    </row>
    <row r="20" spans="1:19" x14ac:dyDescent="0.2">
      <c r="A20" s="126" t="s">
        <v>72</v>
      </c>
      <c r="B20" s="71">
        <v>4.4000000000000004</v>
      </c>
      <c r="C20" s="125">
        <v>9.6</v>
      </c>
      <c r="D20" s="125">
        <v>0</v>
      </c>
      <c r="E20" s="125">
        <v>0</v>
      </c>
      <c r="F20" s="125">
        <f t="shared" si="0"/>
        <v>0</v>
      </c>
      <c r="G20" s="124">
        <v>0</v>
      </c>
      <c r="H20" s="124">
        <f t="shared" si="2"/>
        <v>2.8</v>
      </c>
      <c r="I20" s="141">
        <f t="shared" si="3"/>
        <v>-100</v>
      </c>
      <c r="J20" s="125">
        <v>4.4000000000000004</v>
      </c>
      <c r="K20" s="125">
        <v>6.4</v>
      </c>
      <c r="L20" s="125">
        <v>0</v>
      </c>
      <c r="M20" s="125">
        <v>0</v>
      </c>
      <c r="N20" s="125">
        <f t="shared" si="4"/>
        <v>0</v>
      </c>
      <c r="O20" s="124">
        <v>0</v>
      </c>
      <c r="P20" s="124">
        <f t="shared" si="10"/>
        <v>2.16</v>
      </c>
      <c r="Q20" s="141">
        <f t="shared" si="6"/>
        <v>-100</v>
      </c>
      <c r="R20" s="44">
        <v>0</v>
      </c>
      <c r="S20" s="2">
        <v>0</v>
      </c>
    </row>
    <row r="21" spans="1:19" ht="24" x14ac:dyDescent="0.2">
      <c r="A21" s="126" t="s">
        <v>74</v>
      </c>
      <c r="B21" s="71">
        <v>6.6</v>
      </c>
      <c r="C21" s="125">
        <v>18.2</v>
      </c>
      <c r="D21" s="125">
        <v>13.5</v>
      </c>
      <c r="E21" s="125">
        <v>0</v>
      </c>
      <c r="F21" s="125">
        <f t="shared" si="0"/>
        <v>43</v>
      </c>
      <c r="G21" s="124">
        <v>100</v>
      </c>
      <c r="H21" s="124">
        <f t="shared" si="2"/>
        <v>16.259999999999998</v>
      </c>
      <c r="I21" s="141">
        <f t="shared" si="3"/>
        <v>164.45264452644528</v>
      </c>
      <c r="J21" s="125"/>
      <c r="K21" s="125">
        <v>8.5</v>
      </c>
      <c r="L21" s="125">
        <v>3.8</v>
      </c>
      <c r="M21" s="125">
        <v>0</v>
      </c>
      <c r="N21" s="125">
        <f t="shared" si="4"/>
        <v>0</v>
      </c>
      <c r="O21" s="124">
        <v>0</v>
      </c>
      <c r="P21" s="124">
        <f t="shared" si="10"/>
        <v>2.46</v>
      </c>
      <c r="Q21" s="141">
        <f t="shared" si="6"/>
        <v>-100</v>
      </c>
      <c r="R21" s="44">
        <v>13</v>
      </c>
      <c r="S21" s="2">
        <v>0</v>
      </c>
    </row>
    <row r="22" spans="1:19" ht="48" x14ac:dyDescent="0.2">
      <c r="A22" s="126" t="s">
        <v>84</v>
      </c>
      <c r="B22" s="71">
        <v>0</v>
      </c>
      <c r="C22" s="125">
        <v>77.099999999999994</v>
      </c>
      <c r="D22" s="125">
        <v>30.9</v>
      </c>
      <c r="E22" s="125">
        <v>0</v>
      </c>
      <c r="F22" s="125">
        <f t="shared" si="0"/>
        <v>0</v>
      </c>
      <c r="G22" s="124">
        <v>0</v>
      </c>
      <c r="H22" s="124">
        <f t="shared" si="2"/>
        <v>21.6</v>
      </c>
      <c r="I22" s="141">
        <f t="shared" si="3"/>
        <v>-100</v>
      </c>
      <c r="J22" s="71">
        <v>0</v>
      </c>
      <c r="K22" s="125">
        <v>17.100000000000001</v>
      </c>
      <c r="L22" s="125">
        <v>30.9</v>
      </c>
      <c r="M22" s="125">
        <v>0</v>
      </c>
      <c r="N22" s="125">
        <f t="shared" si="4"/>
        <v>0</v>
      </c>
      <c r="O22" s="124">
        <v>0</v>
      </c>
      <c r="P22" s="124">
        <f t="shared" si="10"/>
        <v>9.6</v>
      </c>
      <c r="Q22" s="141">
        <f t="shared" si="6"/>
        <v>-100</v>
      </c>
      <c r="R22" s="44">
        <v>0</v>
      </c>
      <c r="S22" s="2">
        <v>0</v>
      </c>
    </row>
    <row r="23" spans="1:19" ht="24" x14ac:dyDescent="0.2">
      <c r="A23" s="126" t="s">
        <v>85</v>
      </c>
      <c r="B23" s="71">
        <v>241.2</v>
      </c>
      <c r="C23" s="125">
        <v>240.1</v>
      </c>
      <c r="D23" s="125">
        <v>257</v>
      </c>
      <c r="E23" s="125">
        <v>34.4</v>
      </c>
      <c r="F23" s="125">
        <f t="shared" si="0"/>
        <v>132.5</v>
      </c>
      <c r="G23" s="124">
        <f t="shared" si="1"/>
        <v>3.8517441860465116</v>
      </c>
      <c r="H23" s="124">
        <f t="shared" si="2"/>
        <v>181.04</v>
      </c>
      <c r="I23" s="141">
        <f t="shared" si="3"/>
        <v>-26.811754308440115</v>
      </c>
      <c r="J23" s="71">
        <v>241.2</v>
      </c>
      <c r="K23" s="125">
        <v>261.5</v>
      </c>
      <c r="L23" s="125">
        <v>257</v>
      </c>
      <c r="M23" s="125">
        <v>34.4</v>
      </c>
      <c r="N23" s="125">
        <f t="shared" si="4"/>
        <v>132.5</v>
      </c>
      <c r="O23" s="124">
        <f t="shared" si="5"/>
        <v>3.8517441860465116</v>
      </c>
      <c r="P23" s="124">
        <f t="shared" si="10"/>
        <v>185.32</v>
      </c>
      <c r="Q23" s="141">
        <f t="shared" si="6"/>
        <v>-28.502050507230734</v>
      </c>
      <c r="R23" s="44">
        <v>40</v>
      </c>
      <c r="S23" s="2">
        <v>40</v>
      </c>
    </row>
  </sheetData>
  <mergeCells count="9">
    <mergeCell ref="I3:I4"/>
    <mergeCell ref="Q3:Q4"/>
    <mergeCell ref="O3:O4"/>
    <mergeCell ref="P3:P4"/>
    <mergeCell ref="A3:A4"/>
    <mergeCell ref="J3:N3"/>
    <mergeCell ref="B3:F3"/>
    <mergeCell ref="G3:G4"/>
    <mergeCell ref="H3:H4"/>
  </mergeCells>
  <pageMargins left="0.98425196850393704" right="0.98425196850393704" top="0.98425196850393704" bottom="0.98425196850393704" header="0.51181102362204722" footer="0.51181102362204722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view="pageBreakPreview" zoomScale="107" zoomScaleSheetLayoutView="107" workbookViewId="0">
      <selection activeCell="G5" sqref="G5"/>
    </sheetView>
  </sheetViews>
  <sheetFormatPr defaultColWidth="9.140625" defaultRowHeight="12.75" x14ac:dyDescent="0.2"/>
  <cols>
    <col min="1" max="1" width="41.28515625" style="8" customWidth="1"/>
    <col min="2" max="2" width="5.42578125" style="8" customWidth="1"/>
    <col min="3" max="4" width="5.28515625" style="8" customWidth="1"/>
    <col min="5" max="6" width="5.42578125" style="8" customWidth="1"/>
    <col min="7" max="7" width="7.7109375" style="8" customWidth="1"/>
    <col min="8" max="8" width="7.5703125" style="8" customWidth="1"/>
    <col min="9" max="9" width="11.42578125" style="8" bestFit="1" customWidth="1"/>
    <col min="10" max="10" width="5.42578125" style="8" customWidth="1"/>
    <col min="11" max="11" width="5.28515625" style="8" customWidth="1"/>
    <col min="12" max="13" width="5.42578125" style="8" customWidth="1"/>
    <col min="14" max="14" width="6.42578125" style="8" customWidth="1"/>
    <col min="15" max="15" width="10.85546875" style="8" customWidth="1"/>
    <col min="16" max="16" width="6.42578125" style="8" customWidth="1"/>
    <col min="17" max="17" width="11.42578125" style="8" bestFit="1" customWidth="1"/>
    <col min="18" max="16384" width="9.140625" style="8"/>
  </cols>
  <sheetData>
    <row r="1" spans="1:19" x14ac:dyDescent="0.2">
      <c r="P1" s="22" t="s">
        <v>170</v>
      </c>
    </row>
    <row r="2" spans="1:19" x14ac:dyDescent="0.2">
      <c r="A2" s="23" t="s">
        <v>96</v>
      </c>
      <c r="B2" s="24"/>
      <c r="C2" s="24"/>
      <c r="D2" s="24"/>
      <c r="E2" s="24"/>
      <c r="F2" s="24"/>
      <c r="G2" s="24"/>
      <c r="H2" s="24"/>
      <c r="J2" s="24"/>
      <c r="K2" s="24"/>
      <c r="L2" s="24"/>
      <c r="M2" s="24"/>
      <c r="N2" s="24"/>
      <c r="O2" s="24"/>
      <c r="P2" s="24"/>
    </row>
    <row r="3" spans="1:19" ht="29.25" customHeight="1" x14ac:dyDescent="0.2">
      <c r="A3" s="166" t="s">
        <v>55</v>
      </c>
      <c r="B3" s="166" t="s">
        <v>56</v>
      </c>
      <c r="C3" s="166"/>
      <c r="D3" s="166"/>
      <c r="E3" s="166"/>
      <c r="F3" s="166"/>
      <c r="G3" s="166" t="s">
        <v>264</v>
      </c>
      <c r="H3" s="166" t="s">
        <v>109</v>
      </c>
      <c r="I3" s="166" t="s">
        <v>145</v>
      </c>
      <c r="J3" s="166" t="s">
        <v>147</v>
      </c>
      <c r="K3" s="166"/>
      <c r="L3" s="166"/>
      <c r="M3" s="166"/>
      <c r="N3" s="166"/>
      <c r="O3" s="166" t="s">
        <v>264</v>
      </c>
      <c r="P3" s="166" t="s">
        <v>109</v>
      </c>
      <c r="Q3" s="166" t="s">
        <v>270</v>
      </c>
    </row>
    <row r="4" spans="1:19" ht="30.75" customHeight="1" x14ac:dyDescent="0.2">
      <c r="A4" s="177"/>
      <c r="B4" s="148">
        <v>2018</v>
      </c>
      <c r="C4" s="148">
        <v>2019</v>
      </c>
      <c r="D4" s="148">
        <v>2020</v>
      </c>
      <c r="E4" s="148">
        <v>2021</v>
      </c>
      <c r="F4" s="148">
        <v>2022</v>
      </c>
      <c r="G4" s="177"/>
      <c r="H4" s="177"/>
      <c r="I4" s="177"/>
      <c r="J4" s="148">
        <v>2018</v>
      </c>
      <c r="K4" s="148">
        <v>2019</v>
      </c>
      <c r="L4" s="148">
        <v>2020</v>
      </c>
      <c r="M4" s="148">
        <v>2021</v>
      </c>
      <c r="N4" s="148">
        <v>2022</v>
      </c>
      <c r="O4" s="177"/>
      <c r="P4" s="177"/>
      <c r="Q4" s="177"/>
      <c r="R4" s="8" t="s">
        <v>268</v>
      </c>
      <c r="S4" s="8" t="s">
        <v>269</v>
      </c>
    </row>
    <row r="5" spans="1:19" x14ac:dyDescent="0.2">
      <c r="A5" s="128" t="s">
        <v>148</v>
      </c>
      <c r="B5" s="71">
        <v>1100.2</v>
      </c>
      <c r="C5" s="125">
        <v>1200</v>
      </c>
      <c r="D5" s="125">
        <v>1246.2</v>
      </c>
      <c r="E5" s="125">
        <v>63.1</v>
      </c>
      <c r="F5" s="125">
        <f>ROUND((R5/6664*1000),1)</f>
        <v>1786.6</v>
      </c>
      <c r="G5" s="124">
        <f>F5/E5</f>
        <v>28.313787638668778</v>
      </c>
      <c r="H5" s="124">
        <f>SUM(B5,C5,D5,E5,F5)/5</f>
        <v>1079.2199999999998</v>
      </c>
      <c r="I5" s="149">
        <f>F5/H5*100-100</f>
        <v>65.545486555104645</v>
      </c>
      <c r="J5" s="71">
        <v>536.20000000000005</v>
      </c>
      <c r="K5" s="125">
        <v>567.1</v>
      </c>
      <c r="L5" s="125">
        <v>616.70000000000005</v>
      </c>
      <c r="M5" s="125">
        <v>39</v>
      </c>
      <c r="N5" s="125">
        <f>ROUND((S5/6664*1000),1)</f>
        <v>747.4</v>
      </c>
      <c r="O5" s="124">
        <f>N5/M5</f>
        <v>19.164102564102564</v>
      </c>
      <c r="P5" s="124">
        <f>SUM(J5,K5,L5,M5,N5)/5</f>
        <v>501.28000000000003</v>
      </c>
      <c r="Q5" s="149">
        <f>N5/P5*100-100</f>
        <v>49.098308330673461</v>
      </c>
      <c r="R5" s="8">
        <v>11906</v>
      </c>
      <c r="S5" s="8">
        <v>4981</v>
      </c>
    </row>
    <row r="6" spans="1:19" ht="25.5" x14ac:dyDescent="0.2">
      <c r="A6" s="128" t="s">
        <v>149</v>
      </c>
      <c r="B6" s="71">
        <v>18</v>
      </c>
      <c r="C6" s="125">
        <v>27.7</v>
      </c>
      <c r="D6" s="125">
        <v>28.6</v>
      </c>
      <c r="E6" s="125">
        <v>2.2000000000000002</v>
      </c>
      <c r="F6" s="125">
        <f t="shared" ref="F6:F23" si="0">ROUND((R6/6664*1000),1)</f>
        <v>59.6</v>
      </c>
      <c r="G6" s="124">
        <f t="shared" ref="G6:G23" si="1">F6/E6</f>
        <v>27.09090909090909</v>
      </c>
      <c r="H6" s="124">
        <f t="shared" ref="H6:H23" si="2">SUM(B6,C6,D6,E6,F6)/5</f>
        <v>27.220000000000006</v>
      </c>
      <c r="I6" s="149">
        <f t="shared" ref="I6:I23" si="3">F6/H6*100-100</f>
        <v>118.95664952240998</v>
      </c>
      <c r="J6" s="71">
        <v>6.9</v>
      </c>
      <c r="K6" s="125">
        <v>9.3000000000000007</v>
      </c>
      <c r="L6" s="125">
        <v>11.4</v>
      </c>
      <c r="M6" s="125">
        <v>1.2</v>
      </c>
      <c r="N6" s="125">
        <f t="shared" ref="N6:N23" si="4">ROUND((S6/6664*1000),1)</f>
        <v>7.4</v>
      </c>
      <c r="O6" s="124">
        <f t="shared" ref="O6:O23" si="5">N6/M6</f>
        <v>6.166666666666667</v>
      </c>
      <c r="P6" s="124">
        <f t="shared" ref="P6:P23" si="6">SUM(J6,K6,L6,M6,N6)/5</f>
        <v>7.24</v>
      </c>
      <c r="Q6" s="149">
        <f t="shared" ref="Q6:Q23" si="7">N6/P6*100-100</f>
        <v>2.2099447513812152</v>
      </c>
      <c r="R6" s="8">
        <v>397</v>
      </c>
      <c r="S6" s="8">
        <v>49</v>
      </c>
    </row>
    <row r="7" spans="1:19" x14ac:dyDescent="0.2">
      <c r="A7" s="128" t="s">
        <v>59</v>
      </c>
      <c r="B7" s="71">
        <v>55</v>
      </c>
      <c r="C7" s="125">
        <v>49</v>
      </c>
      <c r="D7" s="125">
        <v>44.8</v>
      </c>
      <c r="E7" s="125">
        <v>2.9</v>
      </c>
      <c r="F7" s="125">
        <f t="shared" si="0"/>
        <v>61.8</v>
      </c>
      <c r="G7" s="124">
        <f t="shared" si="1"/>
        <v>21.310344827586206</v>
      </c>
      <c r="H7" s="124">
        <f t="shared" si="2"/>
        <v>42.7</v>
      </c>
      <c r="I7" s="149">
        <f t="shared" si="3"/>
        <v>44.73067915690865</v>
      </c>
      <c r="J7" s="71">
        <v>8.4</v>
      </c>
      <c r="K7" s="125">
        <v>7.2</v>
      </c>
      <c r="L7" s="125">
        <v>8</v>
      </c>
      <c r="M7" s="125">
        <v>0.5</v>
      </c>
      <c r="N7" s="125">
        <f t="shared" si="4"/>
        <v>15.8</v>
      </c>
      <c r="O7" s="124">
        <f t="shared" si="5"/>
        <v>31.6</v>
      </c>
      <c r="P7" s="124">
        <f t="shared" si="6"/>
        <v>7.9800000000000013</v>
      </c>
      <c r="Q7" s="149">
        <f t="shared" si="7"/>
        <v>97.994987468671667</v>
      </c>
      <c r="R7" s="8">
        <v>412</v>
      </c>
      <c r="S7" s="8">
        <v>105</v>
      </c>
    </row>
    <row r="8" spans="1:19" ht="38.25" x14ac:dyDescent="0.2">
      <c r="A8" s="128" t="s">
        <v>60</v>
      </c>
      <c r="B8" s="71">
        <v>2.5</v>
      </c>
      <c r="C8" s="125">
        <v>3.5</v>
      </c>
      <c r="D8" s="125">
        <v>3.3</v>
      </c>
      <c r="E8" s="125">
        <v>0.3</v>
      </c>
      <c r="F8" s="125">
        <f t="shared" si="0"/>
        <v>9.3000000000000007</v>
      </c>
      <c r="G8" s="124">
        <f t="shared" si="1"/>
        <v>31.000000000000004</v>
      </c>
      <c r="H8" s="124">
        <f t="shared" si="2"/>
        <v>3.7800000000000002</v>
      </c>
      <c r="I8" s="149">
        <f t="shared" si="3"/>
        <v>146.03174603174605</v>
      </c>
      <c r="J8" s="71">
        <v>1</v>
      </c>
      <c r="K8" s="125">
        <v>1.2</v>
      </c>
      <c r="L8" s="125">
        <v>1.2</v>
      </c>
      <c r="M8" s="125">
        <v>0.1</v>
      </c>
      <c r="N8" s="125">
        <f t="shared" si="4"/>
        <v>3.5</v>
      </c>
      <c r="O8" s="124">
        <f t="shared" si="5"/>
        <v>35</v>
      </c>
      <c r="P8" s="124">
        <f t="shared" si="6"/>
        <v>1.4</v>
      </c>
      <c r="Q8" s="149" t="s">
        <v>265</v>
      </c>
      <c r="R8" s="8">
        <v>62</v>
      </c>
      <c r="S8" s="8">
        <v>23</v>
      </c>
    </row>
    <row r="9" spans="1:19" ht="25.5" x14ac:dyDescent="0.2">
      <c r="A9" s="128" t="s">
        <v>61</v>
      </c>
      <c r="B9" s="71">
        <v>75.900000000000006</v>
      </c>
      <c r="C9" s="125">
        <v>94.3</v>
      </c>
      <c r="D9" s="125">
        <v>93.8</v>
      </c>
      <c r="E9" s="125">
        <v>2.1</v>
      </c>
      <c r="F9" s="125">
        <f t="shared" si="0"/>
        <v>71.099999999999994</v>
      </c>
      <c r="G9" s="124">
        <f t="shared" si="1"/>
        <v>33.857142857142854</v>
      </c>
      <c r="H9" s="124">
        <f t="shared" si="2"/>
        <v>67.440000000000012</v>
      </c>
      <c r="I9" s="149">
        <f t="shared" si="3"/>
        <v>5.4270462633451615</v>
      </c>
      <c r="J9" s="71">
        <v>9.6</v>
      </c>
      <c r="K9" s="125">
        <v>9.9</v>
      </c>
      <c r="L9" s="125">
        <v>7.4</v>
      </c>
      <c r="M9" s="125">
        <v>0.2</v>
      </c>
      <c r="N9" s="125">
        <f t="shared" si="4"/>
        <v>10.199999999999999</v>
      </c>
      <c r="O9" s="124">
        <f t="shared" si="5"/>
        <v>50.999999999999993</v>
      </c>
      <c r="P9" s="124">
        <f t="shared" si="6"/>
        <v>7.4599999999999991</v>
      </c>
      <c r="Q9" s="149">
        <f t="shared" si="7"/>
        <v>36.729222520107243</v>
      </c>
      <c r="R9" s="8">
        <v>474</v>
      </c>
      <c r="S9" s="8">
        <v>68</v>
      </c>
    </row>
    <row r="10" spans="1:19" ht="25.5" x14ac:dyDescent="0.2">
      <c r="A10" s="128" t="s">
        <v>62</v>
      </c>
      <c r="B10" s="71">
        <v>68.3</v>
      </c>
      <c r="C10" s="125">
        <v>62.2</v>
      </c>
      <c r="D10" s="125">
        <v>59.1</v>
      </c>
      <c r="E10" s="125">
        <v>1.4</v>
      </c>
      <c r="F10" s="125">
        <f t="shared" si="0"/>
        <v>0</v>
      </c>
      <c r="G10" s="124">
        <f t="shared" si="1"/>
        <v>0</v>
      </c>
      <c r="H10" s="124">
        <f t="shared" si="2"/>
        <v>38.200000000000003</v>
      </c>
      <c r="I10" s="149">
        <f t="shared" si="3"/>
        <v>-100</v>
      </c>
      <c r="J10" s="71">
        <v>1.8</v>
      </c>
      <c r="K10" s="125">
        <v>0.8</v>
      </c>
      <c r="L10" s="125">
        <v>0.9</v>
      </c>
      <c r="M10" s="125">
        <v>0</v>
      </c>
      <c r="N10" s="125">
        <f t="shared" si="4"/>
        <v>0</v>
      </c>
      <c r="O10" s="124">
        <v>0</v>
      </c>
      <c r="P10" s="124">
        <f t="shared" si="6"/>
        <v>0.7</v>
      </c>
      <c r="Q10" s="149">
        <f t="shared" si="7"/>
        <v>-100</v>
      </c>
      <c r="R10" s="8">
        <v>0</v>
      </c>
      <c r="S10" s="8">
        <v>0</v>
      </c>
    </row>
    <row r="11" spans="1:19" x14ac:dyDescent="0.2">
      <c r="A11" s="128" t="s">
        <v>63</v>
      </c>
      <c r="B11" s="71">
        <v>17.399999999999999</v>
      </c>
      <c r="C11" s="125">
        <v>28</v>
      </c>
      <c r="D11" s="125">
        <v>33.5</v>
      </c>
      <c r="E11" s="125">
        <v>1.8</v>
      </c>
      <c r="F11" s="125">
        <f t="shared" si="0"/>
        <v>45.6</v>
      </c>
      <c r="G11" s="124">
        <f t="shared" si="1"/>
        <v>25.333333333333332</v>
      </c>
      <c r="H11" s="124">
        <f t="shared" si="2"/>
        <v>25.26</v>
      </c>
      <c r="I11" s="149">
        <f t="shared" si="3"/>
        <v>80.52256532066508</v>
      </c>
      <c r="J11" s="71">
        <v>3.9</v>
      </c>
      <c r="K11" s="125">
        <v>4.7</v>
      </c>
      <c r="L11" s="125">
        <v>5.2</v>
      </c>
      <c r="M11" s="125">
        <v>0.1</v>
      </c>
      <c r="N11" s="125">
        <f t="shared" si="4"/>
        <v>12.6</v>
      </c>
      <c r="O11" s="124">
        <f t="shared" si="5"/>
        <v>125.99999999999999</v>
      </c>
      <c r="P11" s="124">
        <f t="shared" si="6"/>
        <v>5.3</v>
      </c>
      <c r="Q11" s="149" t="s">
        <v>271</v>
      </c>
      <c r="R11" s="8">
        <v>304</v>
      </c>
      <c r="S11" s="8">
        <v>84</v>
      </c>
    </row>
    <row r="12" spans="1:19" x14ac:dyDescent="0.2">
      <c r="A12" s="128" t="s">
        <v>64</v>
      </c>
      <c r="B12" s="71">
        <v>114.5</v>
      </c>
      <c r="C12" s="125">
        <v>110</v>
      </c>
      <c r="D12" s="125">
        <v>100.6</v>
      </c>
      <c r="E12" s="125">
        <v>2.7</v>
      </c>
      <c r="F12" s="125">
        <f t="shared" si="0"/>
        <v>69.8</v>
      </c>
      <c r="G12" s="124">
        <f t="shared" si="1"/>
        <v>25.851851851851848</v>
      </c>
      <c r="H12" s="124">
        <f t="shared" si="2"/>
        <v>79.52000000000001</v>
      </c>
      <c r="I12" s="149">
        <f t="shared" si="3"/>
        <v>-12.223340040241453</v>
      </c>
      <c r="J12" s="71">
        <v>35.6</v>
      </c>
      <c r="K12" s="125">
        <v>34.1</v>
      </c>
      <c r="L12" s="125">
        <v>30.6</v>
      </c>
      <c r="M12" s="125">
        <v>1.4</v>
      </c>
      <c r="N12" s="125">
        <f t="shared" si="4"/>
        <v>22.4</v>
      </c>
      <c r="O12" s="124">
        <f t="shared" si="5"/>
        <v>16</v>
      </c>
      <c r="P12" s="124">
        <f t="shared" si="6"/>
        <v>24.820000000000004</v>
      </c>
      <c r="Q12" s="149">
        <f t="shared" si="7"/>
        <v>-9.750201450443214</v>
      </c>
      <c r="R12" s="8">
        <v>465</v>
      </c>
      <c r="S12" s="8">
        <v>149</v>
      </c>
    </row>
    <row r="13" spans="1:19" x14ac:dyDescent="0.2">
      <c r="A13" s="128" t="s">
        <v>65</v>
      </c>
      <c r="B13" s="71">
        <v>27.9</v>
      </c>
      <c r="C13" s="125">
        <v>35</v>
      </c>
      <c r="D13" s="125">
        <v>34.299999999999997</v>
      </c>
      <c r="E13" s="125">
        <v>1.7</v>
      </c>
      <c r="F13" s="125">
        <f t="shared" si="0"/>
        <v>9.1999999999999993</v>
      </c>
      <c r="G13" s="124">
        <f t="shared" si="1"/>
        <v>5.4117647058823524</v>
      </c>
      <c r="H13" s="124">
        <f t="shared" si="2"/>
        <v>21.619999999999997</v>
      </c>
      <c r="I13" s="149">
        <f t="shared" si="3"/>
        <v>-57.446808510638299</v>
      </c>
      <c r="J13" s="71">
        <v>21.5</v>
      </c>
      <c r="K13" s="125">
        <v>27.7</v>
      </c>
      <c r="L13" s="125">
        <v>27.8</v>
      </c>
      <c r="M13" s="125">
        <v>1.5</v>
      </c>
      <c r="N13" s="125">
        <f t="shared" si="4"/>
        <v>8.3000000000000007</v>
      </c>
      <c r="O13" s="124">
        <f t="shared" si="5"/>
        <v>5.5333333333333341</v>
      </c>
      <c r="P13" s="124">
        <f t="shared" si="6"/>
        <v>17.36</v>
      </c>
      <c r="Q13" s="149">
        <f t="shared" si="7"/>
        <v>-52.188940092165893</v>
      </c>
      <c r="R13" s="8">
        <v>61</v>
      </c>
      <c r="S13" s="8">
        <v>55</v>
      </c>
    </row>
    <row r="14" spans="1:19" x14ac:dyDescent="0.2">
      <c r="A14" s="128" t="s">
        <v>66</v>
      </c>
      <c r="B14" s="71">
        <v>166.1</v>
      </c>
      <c r="C14" s="125">
        <v>197.8</v>
      </c>
      <c r="D14" s="125">
        <v>226.5</v>
      </c>
      <c r="E14" s="125">
        <v>5.3</v>
      </c>
      <c r="F14" s="125">
        <f t="shared" si="0"/>
        <v>380.6</v>
      </c>
      <c r="G14" s="124">
        <f t="shared" si="1"/>
        <v>71.811320754716988</v>
      </c>
      <c r="H14" s="124">
        <f t="shared" si="2"/>
        <v>195.26</v>
      </c>
      <c r="I14" s="149">
        <f t="shared" si="3"/>
        <v>94.919594386971227</v>
      </c>
      <c r="J14" s="71">
        <v>35.5</v>
      </c>
      <c r="K14" s="125">
        <v>43.4</v>
      </c>
      <c r="L14" s="125">
        <v>48.9</v>
      </c>
      <c r="M14" s="125">
        <v>1.2</v>
      </c>
      <c r="N14" s="125">
        <f t="shared" si="4"/>
        <v>60.9</v>
      </c>
      <c r="O14" s="124">
        <f t="shared" si="5"/>
        <v>50.75</v>
      </c>
      <c r="P14" s="124">
        <f t="shared" si="6"/>
        <v>37.980000000000004</v>
      </c>
      <c r="Q14" s="149">
        <f t="shared" si="7"/>
        <v>60.347551342811983</v>
      </c>
      <c r="R14" s="8">
        <v>2536</v>
      </c>
      <c r="S14" s="8">
        <v>406</v>
      </c>
    </row>
    <row r="15" spans="1:19" x14ac:dyDescent="0.2">
      <c r="A15" s="128" t="s">
        <v>67</v>
      </c>
      <c r="B15" s="71">
        <v>155</v>
      </c>
      <c r="C15" s="125">
        <v>179.2</v>
      </c>
      <c r="D15" s="125">
        <v>192.5</v>
      </c>
      <c r="E15" s="125">
        <v>22.4</v>
      </c>
      <c r="F15" s="125">
        <f t="shared" si="0"/>
        <v>291.39999999999998</v>
      </c>
      <c r="G15" s="124">
        <f t="shared" si="1"/>
        <v>13.008928571428571</v>
      </c>
      <c r="H15" s="124">
        <f t="shared" si="2"/>
        <v>168.1</v>
      </c>
      <c r="I15" s="149">
        <f t="shared" si="3"/>
        <v>73.349196906603197</v>
      </c>
      <c r="J15" s="71">
        <v>137</v>
      </c>
      <c r="K15" s="125">
        <v>157.80000000000001</v>
      </c>
      <c r="L15" s="125">
        <v>169.2</v>
      </c>
      <c r="M15" s="125">
        <v>20.8</v>
      </c>
      <c r="N15" s="125">
        <f t="shared" si="4"/>
        <v>236.9</v>
      </c>
      <c r="O15" s="124">
        <f t="shared" si="5"/>
        <v>11.389423076923077</v>
      </c>
      <c r="P15" s="124">
        <f t="shared" si="6"/>
        <v>144.34</v>
      </c>
      <c r="Q15" s="149">
        <f t="shared" si="7"/>
        <v>64.12636829707634</v>
      </c>
      <c r="R15" s="8">
        <v>1942</v>
      </c>
      <c r="S15" s="8">
        <v>1579</v>
      </c>
    </row>
    <row r="16" spans="1:19" x14ac:dyDescent="0.2">
      <c r="A16" s="128" t="s">
        <v>68</v>
      </c>
      <c r="B16" s="71">
        <v>45.1</v>
      </c>
      <c r="C16" s="125">
        <v>59.3</v>
      </c>
      <c r="D16" s="125">
        <v>54.4</v>
      </c>
      <c r="E16" s="125">
        <v>2.6</v>
      </c>
      <c r="F16" s="125">
        <f t="shared" si="0"/>
        <v>82.1</v>
      </c>
      <c r="G16" s="124">
        <f t="shared" si="1"/>
        <v>31.576923076923073</v>
      </c>
      <c r="H16" s="124">
        <f t="shared" si="2"/>
        <v>48.7</v>
      </c>
      <c r="I16" s="149">
        <f t="shared" si="3"/>
        <v>68.583162217659122</v>
      </c>
      <c r="J16" s="71">
        <v>30.6</v>
      </c>
      <c r="K16" s="125">
        <v>30.3</v>
      </c>
      <c r="L16" s="125">
        <v>27.5</v>
      </c>
      <c r="M16" s="125">
        <v>0.3</v>
      </c>
      <c r="N16" s="125">
        <f t="shared" si="4"/>
        <v>20.9</v>
      </c>
      <c r="O16" s="124">
        <f t="shared" si="5"/>
        <v>69.666666666666671</v>
      </c>
      <c r="P16" s="124">
        <f t="shared" si="6"/>
        <v>21.919999999999998</v>
      </c>
      <c r="Q16" s="149">
        <f t="shared" si="7"/>
        <v>-4.6532846715328446</v>
      </c>
      <c r="R16" s="8">
        <v>547</v>
      </c>
      <c r="S16" s="8">
        <v>139</v>
      </c>
    </row>
    <row r="17" spans="1:19" x14ac:dyDescent="0.2">
      <c r="A17" s="128" t="s">
        <v>69</v>
      </c>
      <c r="B17" s="71">
        <v>37.799999999999997</v>
      </c>
      <c r="C17" s="125">
        <v>32.5</v>
      </c>
      <c r="D17" s="125">
        <v>26.8</v>
      </c>
      <c r="E17" s="125">
        <v>0.8</v>
      </c>
      <c r="F17" s="125">
        <f t="shared" si="0"/>
        <v>58.1</v>
      </c>
      <c r="G17" s="124">
        <f t="shared" si="1"/>
        <v>72.625</v>
      </c>
      <c r="H17" s="124">
        <f t="shared" si="2"/>
        <v>31.2</v>
      </c>
      <c r="I17" s="149">
        <f t="shared" si="3"/>
        <v>86.21794871794873</v>
      </c>
      <c r="J17" s="71">
        <v>13.4</v>
      </c>
      <c r="K17" s="125">
        <v>11.7</v>
      </c>
      <c r="L17" s="125">
        <v>9.9</v>
      </c>
      <c r="M17" s="125">
        <v>0.2</v>
      </c>
      <c r="N17" s="125">
        <f t="shared" si="4"/>
        <v>53.4</v>
      </c>
      <c r="O17" s="124">
        <f t="shared" si="5"/>
        <v>267</v>
      </c>
      <c r="P17" s="124">
        <f t="shared" si="6"/>
        <v>17.72</v>
      </c>
      <c r="Q17" s="149" t="s">
        <v>263</v>
      </c>
      <c r="R17" s="8">
        <v>387</v>
      </c>
      <c r="S17" s="8">
        <v>356</v>
      </c>
    </row>
    <row r="18" spans="1:19" ht="25.5" x14ac:dyDescent="0.2">
      <c r="A18" s="128" t="s">
        <v>70</v>
      </c>
      <c r="B18" s="71">
        <v>106.7</v>
      </c>
      <c r="C18" s="125">
        <v>92.7</v>
      </c>
      <c r="D18" s="125">
        <v>80.8</v>
      </c>
      <c r="E18" s="125">
        <v>1.4</v>
      </c>
      <c r="F18" s="125">
        <f t="shared" si="0"/>
        <v>310.8</v>
      </c>
      <c r="G18" s="124">
        <f t="shared" si="1"/>
        <v>222.00000000000003</v>
      </c>
      <c r="H18" s="124">
        <f t="shared" si="2"/>
        <v>118.47999999999999</v>
      </c>
      <c r="I18" s="149">
        <f t="shared" si="3"/>
        <v>162.32275489534101</v>
      </c>
      <c r="J18" s="71">
        <v>62.7</v>
      </c>
      <c r="K18" s="125">
        <v>54.5</v>
      </c>
      <c r="L18" s="125">
        <v>47.7</v>
      </c>
      <c r="M18" s="125">
        <v>0.2</v>
      </c>
      <c r="N18" s="125">
        <f t="shared" si="4"/>
        <v>75.8</v>
      </c>
      <c r="O18" s="124">
        <f t="shared" si="5"/>
        <v>378.99999999999994</v>
      </c>
      <c r="P18" s="124">
        <f t="shared" si="6"/>
        <v>48.179999999999993</v>
      </c>
      <c r="Q18" s="149">
        <f t="shared" si="7"/>
        <v>57.326691573266942</v>
      </c>
      <c r="R18" s="8">
        <v>2071</v>
      </c>
      <c r="S18" s="8">
        <v>505</v>
      </c>
    </row>
    <row r="19" spans="1:19" x14ac:dyDescent="0.2">
      <c r="A19" s="128" t="s">
        <v>71</v>
      </c>
      <c r="B19" s="71">
        <v>91.9</v>
      </c>
      <c r="C19" s="125">
        <v>86.1</v>
      </c>
      <c r="D19" s="125">
        <v>76.099999999999994</v>
      </c>
      <c r="E19" s="125">
        <v>5.2</v>
      </c>
      <c r="F19" s="125">
        <f t="shared" si="0"/>
        <v>155.9</v>
      </c>
      <c r="G19" s="124">
        <f t="shared" si="1"/>
        <v>29.98076923076923</v>
      </c>
      <c r="H19" s="124">
        <f t="shared" si="2"/>
        <v>83.04</v>
      </c>
      <c r="I19" s="149">
        <f t="shared" si="3"/>
        <v>87.740847784200383</v>
      </c>
      <c r="J19" s="71">
        <v>60.4</v>
      </c>
      <c r="K19" s="125">
        <v>52.5</v>
      </c>
      <c r="L19" s="125">
        <v>42.9</v>
      </c>
      <c r="M19" s="125">
        <v>1.5</v>
      </c>
      <c r="N19" s="125">
        <f t="shared" si="4"/>
        <v>39.9</v>
      </c>
      <c r="O19" s="124">
        <f t="shared" si="5"/>
        <v>26.599999999999998</v>
      </c>
      <c r="P19" s="124">
        <f t="shared" si="6"/>
        <v>39.440000000000005</v>
      </c>
      <c r="Q19" s="149">
        <f t="shared" si="7"/>
        <v>1.166328600405663</v>
      </c>
      <c r="R19" s="8">
        <v>1039</v>
      </c>
      <c r="S19" s="8">
        <v>266</v>
      </c>
    </row>
    <row r="20" spans="1:19" x14ac:dyDescent="0.2">
      <c r="A20" s="128" t="s">
        <v>72</v>
      </c>
      <c r="B20" s="71">
        <v>22.9</v>
      </c>
      <c r="C20" s="125">
        <v>24.6</v>
      </c>
      <c r="D20" s="125">
        <v>26.6</v>
      </c>
      <c r="E20" s="125">
        <v>0.5</v>
      </c>
      <c r="F20" s="125">
        <f t="shared" si="0"/>
        <v>11.9</v>
      </c>
      <c r="G20" s="124">
        <f t="shared" si="1"/>
        <v>23.8</v>
      </c>
      <c r="H20" s="124">
        <f t="shared" si="2"/>
        <v>17.3</v>
      </c>
      <c r="I20" s="149">
        <f t="shared" si="3"/>
        <v>-31.213872832369944</v>
      </c>
      <c r="J20" s="71">
        <v>13.5</v>
      </c>
      <c r="K20" s="125">
        <v>11.9</v>
      </c>
      <c r="L20" s="125">
        <v>13.8</v>
      </c>
      <c r="M20" s="125">
        <v>0.1</v>
      </c>
      <c r="N20" s="125">
        <f t="shared" si="4"/>
        <v>11.9</v>
      </c>
      <c r="O20" s="124">
        <f t="shared" si="5"/>
        <v>119</v>
      </c>
      <c r="P20" s="124">
        <f t="shared" si="6"/>
        <v>10.24</v>
      </c>
      <c r="Q20" s="149">
        <f t="shared" si="7"/>
        <v>16.2109375</v>
      </c>
      <c r="R20" s="8">
        <v>79</v>
      </c>
      <c r="S20" s="8">
        <v>79</v>
      </c>
    </row>
    <row r="21" spans="1:19" ht="25.5" x14ac:dyDescent="0.2">
      <c r="A21" s="128" t="s">
        <v>74</v>
      </c>
      <c r="B21" s="71">
        <v>0.7</v>
      </c>
      <c r="C21" s="125">
        <v>0.7</v>
      </c>
      <c r="D21" s="125">
        <v>0.7</v>
      </c>
      <c r="E21" s="125">
        <v>0</v>
      </c>
      <c r="F21" s="125">
        <f t="shared" si="0"/>
        <v>1.8</v>
      </c>
      <c r="G21" s="124">
        <v>100</v>
      </c>
      <c r="H21" s="124">
        <f t="shared" si="2"/>
        <v>0.77999999999999992</v>
      </c>
      <c r="I21" s="149">
        <f t="shared" si="3"/>
        <v>130.7692307692308</v>
      </c>
      <c r="J21" s="71">
        <v>0</v>
      </c>
      <c r="K21" s="125">
        <v>0.04</v>
      </c>
      <c r="L21" s="125">
        <v>0</v>
      </c>
      <c r="M21" s="125">
        <v>0</v>
      </c>
      <c r="N21" s="125">
        <f t="shared" si="4"/>
        <v>0</v>
      </c>
      <c r="O21" s="124">
        <v>0</v>
      </c>
      <c r="P21" s="124">
        <f t="shared" si="6"/>
        <v>8.0000000000000002E-3</v>
      </c>
      <c r="Q21" s="149">
        <f t="shared" si="7"/>
        <v>-100</v>
      </c>
      <c r="R21" s="8">
        <v>12</v>
      </c>
      <c r="S21" s="8">
        <v>0</v>
      </c>
    </row>
    <row r="22" spans="1:19" ht="51" x14ac:dyDescent="0.2">
      <c r="A22" s="128" t="s">
        <v>84</v>
      </c>
      <c r="B22" s="71">
        <v>0</v>
      </c>
      <c r="C22" s="125">
        <v>20.2</v>
      </c>
      <c r="D22" s="125">
        <v>17.600000000000001</v>
      </c>
      <c r="E22" s="125">
        <v>0.7</v>
      </c>
      <c r="F22" s="125">
        <f t="shared" si="0"/>
        <v>0</v>
      </c>
      <c r="G22" s="124">
        <f t="shared" si="1"/>
        <v>0</v>
      </c>
      <c r="H22" s="124">
        <f t="shared" si="2"/>
        <v>7.7</v>
      </c>
      <c r="I22" s="149">
        <f t="shared" si="3"/>
        <v>-100</v>
      </c>
      <c r="J22" s="71">
        <v>0</v>
      </c>
      <c r="K22" s="125">
        <v>13.4</v>
      </c>
      <c r="L22" s="125">
        <v>17.600000000000001</v>
      </c>
      <c r="M22" s="125">
        <v>0.7</v>
      </c>
      <c r="N22" s="125">
        <f t="shared" si="4"/>
        <v>0</v>
      </c>
      <c r="O22" s="124">
        <f t="shared" si="5"/>
        <v>0</v>
      </c>
      <c r="P22" s="124">
        <f t="shared" si="6"/>
        <v>6.34</v>
      </c>
      <c r="Q22" s="149">
        <f t="shared" si="7"/>
        <v>-100</v>
      </c>
      <c r="R22" s="8">
        <v>0</v>
      </c>
      <c r="S22" s="8">
        <v>0</v>
      </c>
    </row>
    <row r="23" spans="1:19" ht="25.5" x14ac:dyDescent="0.2">
      <c r="A23" s="128" t="s">
        <v>85</v>
      </c>
      <c r="B23" s="71">
        <v>94.5</v>
      </c>
      <c r="C23" s="81">
        <v>96.5</v>
      </c>
      <c r="D23" s="81">
        <v>94.8</v>
      </c>
      <c r="E23" s="81">
        <v>3.8</v>
      </c>
      <c r="F23" s="125">
        <f t="shared" si="0"/>
        <v>56.6</v>
      </c>
      <c r="G23" s="124">
        <f t="shared" si="1"/>
        <v>14.894736842105264</v>
      </c>
      <c r="H23" s="124">
        <f t="shared" si="2"/>
        <v>69.240000000000009</v>
      </c>
      <c r="I23" s="149">
        <f t="shared" si="3"/>
        <v>-18.255343731946866</v>
      </c>
      <c r="J23" s="71">
        <v>94.5</v>
      </c>
      <c r="K23" s="81">
        <v>96.5</v>
      </c>
      <c r="L23" s="81">
        <v>94.8</v>
      </c>
      <c r="M23" s="81">
        <v>3.8</v>
      </c>
      <c r="N23" s="125">
        <f t="shared" si="4"/>
        <v>56.6</v>
      </c>
      <c r="O23" s="124">
        <f t="shared" si="5"/>
        <v>14.894736842105264</v>
      </c>
      <c r="P23" s="124">
        <f t="shared" si="6"/>
        <v>69.240000000000009</v>
      </c>
      <c r="Q23" s="149">
        <f t="shared" si="7"/>
        <v>-18.255343731946866</v>
      </c>
      <c r="R23" s="8">
        <v>377</v>
      </c>
      <c r="S23" s="8">
        <v>377</v>
      </c>
    </row>
    <row r="24" spans="1:19" x14ac:dyDescent="0.2">
      <c r="A24" s="41"/>
      <c r="B24" s="41"/>
      <c r="C24" s="41"/>
      <c r="D24" s="41"/>
      <c r="E24" s="41"/>
      <c r="F24" s="41"/>
      <c r="G24" s="41"/>
      <c r="H24" s="41"/>
      <c r="J24" s="41"/>
      <c r="K24" s="41"/>
      <c r="L24" s="41"/>
      <c r="M24" s="41"/>
      <c r="N24" s="41"/>
      <c r="O24" s="41"/>
      <c r="P24" s="41"/>
    </row>
    <row r="25" spans="1:19" x14ac:dyDescent="0.2">
      <c r="A25" s="2"/>
    </row>
  </sheetData>
  <mergeCells count="9">
    <mergeCell ref="I3:I4"/>
    <mergeCell ref="Q3:Q4"/>
    <mergeCell ref="A3:A4"/>
    <mergeCell ref="P3:P4"/>
    <mergeCell ref="J3:N3"/>
    <mergeCell ref="B3:F3"/>
    <mergeCell ref="G3:G4"/>
    <mergeCell ref="H3:H4"/>
    <mergeCell ref="O3:O4"/>
  </mergeCells>
  <pageMargins left="0.98425196850393704" right="0.98425196850393704" top="0.98425196850393704" bottom="0.98425196850393704" header="0.51181102362204722" footer="0.51181102362204722"/>
  <pageSetup paperSize="9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"/>
  <sheetViews>
    <sheetView view="pageBreakPreview" zoomScaleNormal="90" zoomScaleSheetLayoutView="100" workbookViewId="0">
      <selection activeCell="M11" sqref="M11"/>
    </sheetView>
  </sheetViews>
  <sheetFormatPr defaultRowHeight="15" x14ac:dyDescent="0.25"/>
  <cols>
    <col min="1" max="1" width="4.140625" customWidth="1"/>
    <col min="2" max="2" width="21.42578125" customWidth="1"/>
    <col min="3" max="3" width="6.5703125" customWidth="1"/>
    <col min="4" max="4" width="7.7109375" customWidth="1"/>
    <col min="5" max="5" width="6.42578125" customWidth="1"/>
    <col min="6" max="6" width="7.7109375" customWidth="1"/>
    <col min="7" max="7" width="6.42578125" customWidth="1"/>
    <col min="8" max="8" width="7.7109375" customWidth="1"/>
    <col min="9" max="9" width="6.7109375" customWidth="1"/>
    <col min="10" max="12" width="7.7109375" customWidth="1"/>
    <col min="13" max="15" width="8.5703125" customWidth="1"/>
  </cols>
  <sheetData>
    <row r="1" spans="1:15" x14ac:dyDescent="0.25">
      <c r="O1" s="10" t="s">
        <v>175</v>
      </c>
    </row>
    <row r="2" spans="1:15" x14ac:dyDescent="0.25">
      <c r="A2" s="3"/>
    </row>
    <row r="3" spans="1:15" x14ac:dyDescent="0.25">
      <c r="A3" s="16" t="s">
        <v>115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3"/>
    </row>
    <row r="5" spans="1:15" ht="15" customHeight="1" x14ac:dyDescent="0.25">
      <c r="A5" s="159" t="s">
        <v>0</v>
      </c>
      <c r="B5" s="159" t="s">
        <v>1</v>
      </c>
      <c r="C5" s="159">
        <v>2018</v>
      </c>
      <c r="D5" s="159"/>
      <c r="E5" s="159">
        <v>2019</v>
      </c>
      <c r="F5" s="159"/>
      <c r="G5" s="159">
        <v>2020</v>
      </c>
      <c r="H5" s="159"/>
      <c r="I5" s="159">
        <v>2021</v>
      </c>
      <c r="J5" s="159"/>
      <c r="K5" s="159">
        <v>2022</v>
      </c>
      <c r="L5" s="159"/>
      <c r="M5" s="159" t="s">
        <v>144</v>
      </c>
      <c r="N5" s="159" t="s">
        <v>109</v>
      </c>
      <c r="O5" s="159" t="s">
        <v>145</v>
      </c>
    </row>
    <row r="6" spans="1:15" ht="30.6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x14ac:dyDescent="0.25">
      <c r="A7" s="159"/>
      <c r="B7" s="159"/>
      <c r="C7" s="127" t="s">
        <v>2</v>
      </c>
      <c r="D7" s="127" t="s">
        <v>3</v>
      </c>
      <c r="E7" s="127" t="s">
        <v>2</v>
      </c>
      <c r="F7" s="127" t="s">
        <v>3</v>
      </c>
      <c r="G7" s="127" t="s">
        <v>2</v>
      </c>
      <c r="H7" s="127" t="s">
        <v>3</v>
      </c>
      <c r="I7" s="127" t="s">
        <v>2</v>
      </c>
      <c r="J7" s="127" t="s">
        <v>3</v>
      </c>
      <c r="K7" s="127" t="s">
        <v>2</v>
      </c>
      <c r="L7" s="127" t="s">
        <v>3</v>
      </c>
      <c r="M7" s="159"/>
      <c r="N7" s="159"/>
      <c r="O7" s="159"/>
    </row>
    <row r="8" spans="1:15" ht="30" x14ac:dyDescent="0.25">
      <c r="A8" s="127">
        <v>1</v>
      </c>
      <c r="B8" s="127" t="s">
        <v>110</v>
      </c>
      <c r="C8" s="150">
        <v>774</v>
      </c>
      <c r="D8" s="150">
        <v>2642.4</v>
      </c>
      <c r="E8" s="82">
        <v>905</v>
      </c>
      <c r="F8" s="78">
        <v>3116</v>
      </c>
      <c r="G8" s="82">
        <v>766</v>
      </c>
      <c r="H8" s="78">
        <v>2662.9</v>
      </c>
      <c r="I8" s="82">
        <v>238</v>
      </c>
      <c r="J8" s="125">
        <f>ROUND((I8/8696*100000),1)</f>
        <v>2736.9</v>
      </c>
      <c r="K8" s="82">
        <v>251</v>
      </c>
      <c r="L8" s="125">
        <f>ROUND((K8/8571*100000),1)</f>
        <v>2928.5</v>
      </c>
      <c r="M8" s="124">
        <f>L8/J8*100-100</f>
        <v>7.0006211407066274</v>
      </c>
      <c r="N8" s="124">
        <f>SUM(D8,F8,H8,J8,L8)/5</f>
        <v>2817.3399999999997</v>
      </c>
      <c r="O8" s="124">
        <f>L8/N8*100-100</f>
        <v>3.9455656754243478</v>
      </c>
    </row>
    <row r="9" spans="1:15" ht="29.45" customHeight="1" x14ac:dyDescent="0.25">
      <c r="A9" s="127">
        <v>2</v>
      </c>
      <c r="B9" s="127" t="s">
        <v>111</v>
      </c>
      <c r="C9" s="150">
        <v>100</v>
      </c>
      <c r="D9" s="150">
        <v>341.4</v>
      </c>
      <c r="E9" s="82">
        <v>107</v>
      </c>
      <c r="F9" s="78">
        <v>368.4</v>
      </c>
      <c r="G9" s="82">
        <v>90</v>
      </c>
      <c r="H9" s="78">
        <v>312.89999999999998</v>
      </c>
      <c r="I9" s="82">
        <v>55</v>
      </c>
      <c r="J9" s="125">
        <f t="shared" ref="J9:J10" si="0">ROUND((I9/8696*100000),1)</f>
        <v>632.5</v>
      </c>
      <c r="K9" s="82">
        <v>52</v>
      </c>
      <c r="L9" s="125">
        <f t="shared" ref="L9:L10" si="1">ROUND((K9/8571*100000),1)</f>
        <v>606.70000000000005</v>
      </c>
      <c r="M9" s="124">
        <f t="shared" ref="M9:M10" si="2">L9/J9*100-100</f>
        <v>-4.0790513833992037</v>
      </c>
      <c r="N9" s="124">
        <f>SUM(D9,F9,H9,J9,L9)/5</f>
        <v>452.37999999999994</v>
      </c>
      <c r="O9" s="124">
        <f t="shared" ref="O9:O12" si="3">L9/N9*100-100</f>
        <v>34.112913921924076</v>
      </c>
    </row>
    <row r="10" spans="1:15" x14ac:dyDescent="0.25">
      <c r="A10" s="127">
        <v>3</v>
      </c>
      <c r="B10" s="127" t="s">
        <v>112</v>
      </c>
      <c r="C10" s="150">
        <v>72</v>
      </c>
      <c r="D10" s="150">
        <v>2.5</v>
      </c>
      <c r="E10" s="79">
        <v>20</v>
      </c>
      <c r="F10" s="78">
        <v>227.2</v>
      </c>
      <c r="G10" s="79">
        <v>25</v>
      </c>
      <c r="H10" s="78">
        <v>285.2</v>
      </c>
      <c r="I10" s="79">
        <v>19</v>
      </c>
      <c r="J10" s="125">
        <f t="shared" si="0"/>
        <v>218.5</v>
      </c>
      <c r="K10" s="79">
        <v>27</v>
      </c>
      <c r="L10" s="141">
        <f t="shared" si="1"/>
        <v>315</v>
      </c>
      <c r="M10" s="124">
        <f t="shared" si="2"/>
        <v>44.164759725400472</v>
      </c>
      <c r="N10" s="124">
        <f t="shared" ref="N10:N12" si="4">SUM(D10,F10,H10,J10,L10)/5</f>
        <v>209.68</v>
      </c>
      <c r="O10" s="124">
        <f t="shared" si="3"/>
        <v>50.228920259442958</v>
      </c>
    </row>
    <row r="11" spans="1:15" ht="30" x14ac:dyDescent="0.25">
      <c r="A11" s="127">
        <v>4</v>
      </c>
      <c r="B11" s="127" t="s">
        <v>113</v>
      </c>
      <c r="C11" s="150">
        <v>26</v>
      </c>
      <c r="D11" s="150">
        <v>0.9</v>
      </c>
      <c r="E11" s="79">
        <v>4</v>
      </c>
      <c r="F11" s="78">
        <v>90.2</v>
      </c>
      <c r="G11" s="79">
        <v>4</v>
      </c>
      <c r="H11" s="78">
        <v>91.2</v>
      </c>
      <c r="I11" s="79">
        <v>3</v>
      </c>
      <c r="J11" s="141">
        <f>ROUND((I11/4765*100000),1)</f>
        <v>63</v>
      </c>
      <c r="K11" s="79">
        <v>6</v>
      </c>
      <c r="L11" s="141">
        <f>ROUND((K11/4511*100000),1)</f>
        <v>133</v>
      </c>
      <c r="M11" s="124" t="s">
        <v>272</v>
      </c>
      <c r="N11" s="124">
        <f t="shared" si="4"/>
        <v>75.66</v>
      </c>
      <c r="O11" s="124">
        <f t="shared" si="3"/>
        <v>75.786412899814962</v>
      </c>
    </row>
    <row r="12" spans="1:15" ht="30" x14ac:dyDescent="0.25">
      <c r="A12" s="127">
        <v>5</v>
      </c>
      <c r="B12" s="127" t="s">
        <v>114</v>
      </c>
      <c r="C12" s="150">
        <v>9</v>
      </c>
      <c r="D12" s="150">
        <v>0.6</v>
      </c>
      <c r="E12" s="79">
        <v>32</v>
      </c>
      <c r="F12" s="78">
        <v>110.2</v>
      </c>
      <c r="G12" s="79">
        <v>44</v>
      </c>
      <c r="H12" s="78">
        <v>153</v>
      </c>
      <c r="I12" s="79">
        <v>0</v>
      </c>
      <c r="J12" s="78">
        <v>0</v>
      </c>
      <c r="K12" s="79">
        <v>0</v>
      </c>
      <c r="L12" s="78">
        <v>0</v>
      </c>
      <c r="M12" s="124">
        <v>0</v>
      </c>
      <c r="N12" s="124">
        <f t="shared" si="4"/>
        <v>52.760000000000005</v>
      </c>
      <c r="O12" s="124">
        <f t="shared" si="3"/>
        <v>-100</v>
      </c>
    </row>
  </sheetData>
  <mergeCells count="10">
    <mergeCell ref="M5:M7"/>
    <mergeCell ref="N5:N7"/>
    <mergeCell ref="O5:O7"/>
    <mergeCell ref="K5:L6"/>
    <mergeCell ref="A5:A7"/>
    <mergeCell ref="B5:B7"/>
    <mergeCell ref="I5:J6"/>
    <mergeCell ref="C5:D6"/>
    <mergeCell ref="E5:F6"/>
    <mergeCell ref="G5:H6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1"/>
  <sheetViews>
    <sheetView view="pageBreakPreview" zoomScaleNormal="90" zoomScaleSheetLayoutView="100" workbookViewId="0">
      <selection activeCell="P6" sqref="P6"/>
    </sheetView>
  </sheetViews>
  <sheetFormatPr defaultRowHeight="15" x14ac:dyDescent="0.25"/>
  <cols>
    <col min="1" max="1" width="3.28515625" customWidth="1"/>
    <col min="2" max="2" width="27.7109375" customWidth="1"/>
    <col min="3" max="3" width="5.140625" customWidth="1"/>
    <col min="4" max="4" width="6" customWidth="1"/>
    <col min="5" max="5" width="4.28515625" customWidth="1"/>
    <col min="6" max="6" width="5.28515625" bestFit="1" customWidth="1"/>
    <col min="7" max="7" width="5.85546875" customWidth="1"/>
    <col min="8" max="8" width="4.5703125" customWidth="1"/>
    <col min="9" max="10" width="5.85546875" customWidth="1"/>
    <col min="11" max="11" width="4.85546875" customWidth="1"/>
    <col min="12" max="12" width="5.28515625" bestFit="1" customWidth="1"/>
    <col min="13" max="13" width="6.28515625" customWidth="1"/>
    <col min="14" max="14" width="6.85546875" customWidth="1"/>
    <col min="15" max="15" width="5.28515625" bestFit="1" customWidth="1"/>
    <col min="16" max="16" width="5.85546875" customWidth="1"/>
    <col min="17" max="17" width="4.42578125" customWidth="1"/>
    <col min="18" max="18" width="7.7109375" customWidth="1"/>
    <col min="19" max="19" width="6.42578125" customWidth="1"/>
  </cols>
  <sheetData>
    <row r="1" spans="1:20" x14ac:dyDescent="0.25">
      <c r="S1" s="22" t="s">
        <v>176</v>
      </c>
    </row>
    <row r="2" spans="1:20" s="28" customFormat="1" x14ac:dyDescent="0.25">
      <c r="A2" s="16" t="s">
        <v>152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x14ac:dyDescent="0.25">
      <c r="A3" s="3"/>
    </row>
    <row r="4" spans="1:20" ht="27" customHeight="1" x14ac:dyDescent="0.25">
      <c r="A4" s="159" t="s">
        <v>0</v>
      </c>
      <c r="B4" s="159" t="s">
        <v>1</v>
      </c>
      <c r="C4" s="159">
        <v>2018</v>
      </c>
      <c r="D4" s="159"/>
      <c r="E4" s="159"/>
      <c r="F4" s="159">
        <v>2019</v>
      </c>
      <c r="G4" s="159"/>
      <c r="H4" s="159"/>
      <c r="I4" s="159">
        <v>2020</v>
      </c>
      <c r="J4" s="159"/>
      <c r="K4" s="159"/>
      <c r="L4" s="159">
        <v>2021</v>
      </c>
      <c r="M4" s="159"/>
      <c r="N4" s="159"/>
      <c r="O4" s="159">
        <v>2022</v>
      </c>
      <c r="P4" s="159"/>
      <c r="Q4" s="159"/>
      <c r="R4" s="159" t="s">
        <v>144</v>
      </c>
      <c r="S4" s="159" t="s">
        <v>109</v>
      </c>
      <c r="T4" s="159" t="s">
        <v>145</v>
      </c>
    </row>
    <row r="5" spans="1:20" ht="31.5" customHeight="1" x14ac:dyDescent="0.25">
      <c r="A5" s="159"/>
      <c r="B5" s="159"/>
      <c r="C5" s="127" t="s">
        <v>2</v>
      </c>
      <c r="D5" s="127" t="s">
        <v>3</v>
      </c>
      <c r="E5" s="127" t="s">
        <v>98</v>
      </c>
      <c r="F5" s="127" t="s">
        <v>2</v>
      </c>
      <c r="G5" s="127" t="s">
        <v>3</v>
      </c>
      <c r="H5" s="127" t="s">
        <v>130</v>
      </c>
      <c r="I5" s="127" t="s">
        <v>2</v>
      </c>
      <c r="J5" s="127" t="s">
        <v>3</v>
      </c>
      <c r="K5" s="127" t="s">
        <v>98</v>
      </c>
      <c r="L5" s="127" t="s">
        <v>2</v>
      </c>
      <c r="M5" s="127" t="s">
        <v>3</v>
      </c>
      <c r="N5" s="127" t="s">
        <v>98</v>
      </c>
      <c r="O5" s="127" t="s">
        <v>2</v>
      </c>
      <c r="P5" s="127" t="s">
        <v>3</v>
      </c>
      <c r="Q5" s="127" t="s">
        <v>98</v>
      </c>
      <c r="R5" s="159"/>
      <c r="S5" s="159"/>
      <c r="T5" s="159"/>
    </row>
    <row r="6" spans="1:20" x14ac:dyDescent="0.25">
      <c r="A6" s="127"/>
      <c r="B6" s="13" t="s">
        <v>200</v>
      </c>
      <c r="C6" s="150">
        <v>112</v>
      </c>
      <c r="D6" s="150">
        <v>382.4</v>
      </c>
      <c r="E6" s="150">
        <v>100</v>
      </c>
      <c r="F6" s="79">
        <v>107</v>
      </c>
      <c r="G6" s="78">
        <v>368.4</v>
      </c>
      <c r="H6" s="82">
        <v>100</v>
      </c>
      <c r="I6" s="79">
        <v>90</v>
      </c>
      <c r="J6" s="78">
        <v>312.89999999999998</v>
      </c>
      <c r="K6" s="82">
        <v>100</v>
      </c>
      <c r="L6" s="79">
        <v>55</v>
      </c>
      <c r="M6" s="78">
        <f>ROUND((L6*100000/8696),1)</f>
        <v>632.5</v>
      </c>
      <c r="N6" s="82">
        <v>100</v>
      </c>
      <c r="O6" s="79">
        <v>52</v>
      </c>
      <c r="P6" s="78">
        <f>ROUND((O6*100000/8571),1)</f>
        <v>606.70000000000005</v>
      </c>
      <c r="Q6" s="82">
        <v>100</v>
      </c>
      <c r="R6" s="124">
        <f>P6/M6*100-100</f>
        <v>-4.0790513833992037</v>
      </c>
      <c r="S6" s="124">
        <f>SUM(D6,G6,J6,M6,P6)/5</f>
        <v>460.57999999999993</v>
      </c>
      <c r="T6" s="138">
        <f>P6/S6*100-100</f>
        <v>31.725216031959718</v>
      </c>
    </row>
    <row r="7" spans="1:20" ht="30" x14ac:dyDescent="0.25">
      <c r="A7" s="127">
        <v>1</v>
      </c>
      <c r="B7" s="13" t="s">
        <v>189</v>
      </c>
      <c r="C7" s="150">
        <v>0</v>
      </c>
      <c r="D7" s="150">
        <v>0</v>
      </c>
      <c r="E7" s="150">
        <v>0</v>
      </c>
      <c r="F7" s="79">
        <v>1</v>
      </c>
      <c r="G7" s="78">
        <v>3.4</v>
      </c>
      <c r="H7" s="78">
        <f>F7/F$6*100</f>
        <v>0.93457943925233633</v>
      </c>
      <c r="I7" s="79">
        <v>0</v>
      </c>
      <c r="J7" s="78">
        <v>0</v>
      </c>
      <c r="K7" s="78">
        <f>I7/I$6*100</f>
        <v>0</v>
      </c>
      <c r="L7" s="79">
        <v>0</v>
      </c>
      <c r="M7" s="78">
        <f t="shared" ref="M7:M31" si="0">ROUND((L7*100000/8696),1)</f>
        <v>0</v>
      </c>
      <c r="N7" s="78">
        <f>L7/L$6*100</f>
        <v>0</v>
      </c>
      <c r="O7" s="79">
        <v>0</v>
      </c>
      <c r="P7" s="78">
        <f t="shared" ref="P7:P31" si="1">ROUND((O7*100000/8571),1)</f>
        <v>0</v>
      </c>
      <c r="Q7" s="78">
        <f>O7/O$6*100</f>
        <v>0</v>
      </c>
      <c r="R7" s="124">
        <v>0</v>
      </c>
      <c r="S7" s="124">
        <f t="shared" ref="S7:S31" si="2">SUM(D7,G7,J7,M7,P7)/5</f>
        <v>0.67999999999999994</v>
      </c>
      <c r="T7" s="138">
        <f t="shared" ref="T7:T31" si="3">P7/S7*100-100</f>
        <v>-100</v>
      </c>
    </row>
    <row r="8" spans="1:20" ht="15" customHeight="1" x14ac:dyDescent="0.25">
      <c r="A8" s="127">
        <v>2</v>
      </c>
      <c r="B8" s="13" t="s">
        <v>190</v>
      </c>
      <c r="C8" s="150">
        <v>0</v>
      </c>
      <c r="D8" s="150">
        <v>0</v>
      </c>
      <c r="E8" s="150">
        <v>0</v>
      </c>
      <c r="F8" s="79">
        <v>0</v>
      </c>
      <c r="G8" s="78">
        <v>0</v>
      </c>
      <c r="H8" s="78">
        <f t="shared" ref="H8:H31" si="4">F8/F$6*100</f>
        <v>0</v>
      </c>
      <c r="I8" s="79">
        <v>1</v>
      </c>
      <c r="J8" s="78">
        <v>3.5</v>
      </c>
      <c r="K8" s="78">
        <f t="shared" ref="K8:K31" si="5">I8/I$6*100</f>
        <v>1.1111111111111112</v>
      </c>
      <c r="L8" s="79">
        <v>0</v>
      </c>
      <c r="M8" s="78">
        <f t="shared" si="0"/>
        <v>0</v>
      </c>
      <c r="N8" s="78">
        <f t="shared" ref="N8:N31" si="6">L8/L$6*100</f>
        <v>0</v>
      </c>
      <c r="O8" s="79">
        <v>0</v>
      </c>
      <c r="P8" s="78">
        <f t="shared" si="1"/>
        <v>0</v>
      </c>
      <c r="Q8" s="78">
        <f t="shared" ref="Q8:Q31" si="7">O8/O$6*100</f>
        <v>0</v>
      </c>
      <c r="R8" s="124">
        <v>0</v>
      </c>
      <c r="S8" s="124">
        <f t="shared" si="2"/>
        <v>0.7</v>
      </c>
      <c r="T8" s="138">
        <f t="shared" si="3"/>
        <v>-100</v>
      </c>
    </row>
    <row r="9" spans="1:20" ht="30" x14ac:dyDescent="0.25">
      <c r="A9" s="127">
        <v>3</v>
      </c>
      <c r="B9" s="13" t="s">
        <v>198</v>
      </c>
      <c r="C9" s="150">
        <v>11</v>
      </c>
      <c r="D9" s="150">
        <v>37.6</v>
      </c>
      <c r="E9" s="150">
        <v>9.8000000000000007</v>
      </c>
      <c r="F9" s="79">
        <v>7</v>
      </c>
      <c r="G9" s="78">
        <v>24.1</v>
      </c>
      <c r="H9" s="78">
        <f t="shared" si="4"/>
        <v>6.5420560747663545</v>
      </c>
      <c r="I9" s="79"/>
      <c r="J9" s="78">
        <v>0</v>
      </c>
      <c r="K9" s="78">
        <f t="shared" si="5"/>
        <v>0</v>
      </c>
      <c r="L9" s="79">
        <v>1</v>
      </c>
      <c r="M9" s="78">
        <f t="shared" si="0"/>
        <v>11.5</v>
      </c>
      <c r="N9" s="78">
        <f t="shared" si="6"/>
        <v>1.8181818181818181</v>
      </c>
      <c r="O9" s="79">
        <v>3</v>
      </c>
      <c r="P9" s="78">
        <f t="shared" si="1"/>
        <v>35</v>
      </c>
      <c r="Q9" s="78">
        <f t="shared" si="7"/>
        <v>5.7692307692307692</v>
      </c>
      <c r="R9" s="124" t="s">
        <v>273</v>
      </c>
      <c r="S9" s="124">
        <f t="shared" si="2"/>
        <v>21.64</v>
      </c>
      <c r="T9" s="138">
        <f t="shared" si="3"/>
        <v>61.737523105360452</v>
      </c>
    </row>
    <row r="10" spans="1:20" x14ac:dyDescent="0.25">
      <c r="A10" s="127">
        <v>4</v>
      </c>
      <c r="B10" s="13" t="s">
        <v>122</v>
      </c>
      <c r="C10" s="150">
        <v>6</v>
      </c>
      <c r="D10" s="150">
        <v>20.5</v>
      </c>
      <c r="E10" s="150">
        <v>5.3</v>
      </c>
      <c r="F10" s="79">
        <v>8</v>
      </c>
      <c r="G10" s="78">
        <v>27.5</v>
      </c>
      <c r="H10" s="78">
        <f t="shared" si="4"/>
        <v>7.4766355140186906</v>
      </c>
      <c r="I10" s="79">
        <v>3</v>
      </c>
      <c r="J10" s="78">
        <v>10.4</v>
      </c>
      <c r="K10" s="78">
        <f t="shared" si="5"/>
        <v>3.3333333333333335</v>
      </c>
      <c r="L10" s="79">
        <v>4</v>
      </c>
      <c r="M10" s="78">
        <f t="shared" si="0"/>
        <v>46</v>
      </c>
      <c r="N10" s="78">
        <f t="shared" si="6"/>
        <v>7.2727272727272725</v>
      </c>
      <c r="O10" s="79">
        <v>0</v>
      </c>
      <c r="P10" s="78">
        <f t="shared" si="1"/>
        <v>0</v>
      </c>
      <c r="Q10" s="78">
        <f t="shared" si="7"/>
        <v>0</v>
      </c>
      <c r="R10" s="124">
        <f t="shared" ref="R10:R31" si="8">P10/M10*100-100</f>
        <v>-100</v>
      </c>
      <c r="S10" s="124">
        <f t="shared" si="2"/>
        <v>20.880000000000003</v>
      </c>
      <c r="T10" s="138">
        <f t="shared" si="3"/>
        <v>-100</v>
      </c>
    </row>
    <row r="11" spans="1:20" ht="24" x14ac:dyDescent="0.25">
      <c r="A11" s="127">
        <v>5</v>
      </c>
      <c r="B11" s="13" t="s">
        <v>116</v>
      </c>
      <c r="C11" s="150">
        <v>17</v>
      </c>
      <c r="D11" s="150">
        <v>58</v>
      </c>
      <c r="E11" s="150">
        <v>15.2</v>
      </c>
      <c r="F11" s="79">
        <v>12</v>
      </c>
      <c r="G11" s="78">
        <v>41.3</v>
      </c>
      <c r="H11" s="78">
        <f t="shared" si="4"/>
        <v>11.214953271028037</v>
      </c>
      <c r="I11" s="79">
        <v>4</v>
      </c>
      <c r="J11" s="78">
        <v>13.9</v>
      </c>
      <c r="K11" s="78">
        <f t="shared" si="5"/>
        <v>4.4444444444444446</v>
      </c>
      <c r="L11" s="79">
        <v>2</v>
      </c>
      <c r="M11" s="78">
        <f t="shared" si="0"/>
        <v>23</v>
      </c>
      <c r="N11" s="78">
        <f t="shared" si="6"/>
        <v>3.6363636363636362</v>
      </c>
      <c r="O11" s="79">
        <v>9</v>
      </c>
      <c r="P11" s="78">
        <f t="shared" si="1"/>
        <v>105</v>
      </c>
      <c r="Q11" s="78">
        <f t="shared" si="7"/>
        <v>17.307692307692307</v>
      </c>
      <c r="R11" s="124" t="s">
        <v>274</v>
      </c>
      <c r="S11" s="124">
        <f t="shared" si="2"/>
        <v>48.239999999999995</v>
      </c>
      <c r="T11" s="124" t="s">
        <v>275</v>
      </c>
    </row>
    <row r="12" spans="1:20" x14ac:dyDescent="0.25">
      <c r="A12" s="127">
        <v>6</v>
      </c>
      <c r="B12" s="13" t="s">
        <v>191</v>
      </c>
      <c r="C12" s="150">
        <v>13</v>
      </c>
      <c r="D12" s="150">
        <v>44.4</v>
      </c>
      <c r="E12" s="150">
        <v>11.6</v>
      </c>
      <c r="F12" s="79">
        <v>13</v>
      </c>
      <c r="G12" s="78">
        <v>44.8</v>
      </c>
      <c r="H12" s="78">
        <f t="shared" si="4"/>
        <v>12.149532710280374</v>
      </c>
      <c r="I12" s="79">
        <v>13</v>
      </c>
      <c r="J12" s="78">
        <v>45.2</v>
      </c>
      <c r="K12" s="78">
        <f t="shared" si="5"/>
        <v>14.444444444444443</v>
      </c>
      <c r="L12" s="79">
        <v>9</v>
      </c>
      <c r="M12" s="78">
        <f t="shared" si="0"/>
        <v>103.5</v>
      </c>
      <c r="N12" s="78">
        <f t="shared" si="6"/>
        <v>16.363636363636363</v>
      </c>
      <c r="O12" s="79">
        <v>9</v>
      </c>
      <c r="P12" s="78">
        <f t="shared" si="1"/>
        <v>105</v>
      </c>
      <c r="Q12" s="78">
        <f t="shared" si="7"/>
        <v>17.307692307692307</v>
      </c>
      <c r="R12" s="124">
        <f t="shared" si="8"/>
        <v>1.4492753623188435</v>
      </c>
      <c r="S12" s="124">
        <f t="shared" si="2"/>
        <v>68.58</v>
      </c>
      <c r="T12" s="138">
        <f t="shared" si="3"/>
        <v>53.105861767279094</v>
      </c>
    </row>
    <row r="13" spans="1:20" x14ac:dyDescent="0.25">
      <c r="A13" s="127">
        <v>7</v>
      </c>
      <c r="B13" s="13" t="s">
        <v>121</v>
      </c>
      <c r="C13" s="150">
        <v>4</v>
      </c>
      <c r="D13" s="150">
        <v>13.7</v>
      </c>
      <c r="E13" s="150">
        <v>3.6</v>
      </c>
      <c r="F13" s="79">
        <v>15</v>
      </c>
      <c r="G13" s="78">
        <v>51.6</v>
      </c>
      <c r="H13" s="78">
        <f t="shared" si="4"/>
        <v>14.018691588785046</v>
      </c>
      <c r="I13" s="79">
        <v>7</v>
      </c>
      <c r="J13" s="78">
        <v>24.3</v>
      </c>
      <c r="K13" s="78">
        <f t="shared" si="5"/>
        <v>7.7777777777777777</v>
      </c>
      <c r="L13" s="79">
        <v>2</v>
      </c>
      <c r="M13" s="78">
        <f t="shared" si="0"/>
        <v>23</v>
      </c>
      <c r="N13" s="78">
        <f t="shared" si="6"/>
        <v>3.6363636363636362</v>
      </c>
      <c r="O13" s="79">
        <v>2</v>
      </c>
      <c r="P13" s="78">
        <f t="shared" si="1"/>
        <v>23.3</v>
      </c>
      <c r="Q13" s="78">
        <f t="shared" si="7"/>
        <v>3.8461538461538463</v>
      </c>
      <c r="R13" s="124">
        <f t="shared" si="8"/>
        <v>1.3043478260869534</v>
      </c>
      <c r="S13" s="124">
        <f t="shared" si="2"/>
        <v>27.18</v>
      </c>
      <c r="T13" s="138">
        <f t="shared" si="3"/>
        <v>-14.275202354672544</v>
      </c>
    </row>
    <row r="14" spans="1:20" x14ac:dyDescent="0.25">
      <c r="A14" s="127">
        <v>8</v>
      </c>
      <c r="B14" s="13" t="s">
        <v>125</v>
      </c>
      <c r="C14" s="150">
        <v>4</v>
      </c>
      <c r="D14" s="150">
        <v>13.7</v>
      </c>
      <c r="E14" s="150">
        <v>3.6</v>
      </c>
      <c r="F14" s="79">
        <v>6</v>
      </c>
      <c r="G14" s="78">
        <v>20.7</v>
      </c>
      <c r="H14" s="78">
        <f t="shared" si="4"/>
        <v>5.6074766355140184</v>
      </c>
      <c r="I14" s="79">
        <v>7</v>
      </c>
      <c r="J14" s="78">
        <v>24.3</v>
      </c>
      <c r="K14" s="78">
        <f t="shared" si="5"/>
        <v>7.7777777777777777</v>
      </c>
      <c r="L14" s="79">
        <v>3</v>
      </c>
      <c r="M14" s="78">
        <f t="shared" si="0"/>
        <v>34.5</v>
      </c>
      <c r="N14" s="78">
        <f t="shared" si="6"/>
        <v>5.4545454545454541</v>
      </c>
      <c r="O14" s="79">
        <v>2</v>
      </c>
      <c r="P14" s="78">
        <f t="shared" si="1"/>
        <v>23.3</v>
      </c>
      <c r="Q14" s="78">
        <f t="shared" si="7"/>
        <v>3.8461538461538463</v>
      </c>
      <c r="R14" s="124">
        <f t="shared" si="8"/>
        <v>-32.463768115942031</v>
      </c>
      <c r="S14" s="124">
        <f t="shared" si="2"/>
        <v>23.3</v>
      </c>
      <c r="T14" s="138">
        <f t="shared" si="3"/>
        <v>0</v>
      </c>
    </row>
    <row r="15" spans="1:20" x14ac:dyDescent="0.25">
      <c r="A15" s="127">
        <v>9</v>
      </c>
      <c r="B15" s="13" t="s">
        <v>120</v>
      </c>
      <c r="C15" s="150">
        <v>10</v>
      </c>
      <c r="D15" s="150">
        <v>34.1</v>
      </c>
      <c r="E15" s="150">
        <v>8.9</v>
      </c>
      <c r="F15" s="79">
        <v>8</v>
      </c>
      <c r="G15" s="78">
        <v>27.5</v>
      </c>
      <c r="H15" s="78">
        <f t="shared" si="4"/>
        <v>7.4766355140186906</v>
      </c>
      <c r="I15" s="79">
        <v>5</v>
      </c>
      <c r="J15" s="78">
        <v>17.399999999999999</v>
      </c>
      <c r="K15" s="78">
        <f t="shared" si="5"/>
        <v>5.5555555555555554</v>
      </c>
      <c r="L15" s="79">
        <v>4</v>
      </c>
      <c r="M15" s="78">
        <f t="shared" si="0"/>
        <v>46</v>
      </c>
      <c r="N15" s="78">
        <f t="shared" si="6"/>
        <v>7.2727272727272725</v>
      </c>
      <c r="O15" s="79">
        <v>4</v>
      </c>
      <c r="P15" s="78">
        <f t="shared" si="1"/>
        <v>46.7</v>
      </c>
      <c r="Q15" s="78">
        <f t="shared" si="7"/>
        <v>7.6923076923076925</v>
      </c>
      <c r="R15" s="124">
        <f t="shared" si="8"/>
        <v>1.5217391304347814</v>
      </c>
      <c r="S15" s="124">
        <f t="shared" si="2"/>
        <v>34.339999999999996</v>
      </c>
      <c r="T15" s="138">
        <f t="shared" si="3"/>
        <v>35.99301106581251</v>
      </c>
    </row>
    <row r="16" spans="1:20" ht="45" x14ac:dyDescent="0.25">
      <c r="A16" s="127">
        <v>10</v>
      </c>
      <c r="B16" s="13" t="s">
        <v>192</v>
      </c>
      <c r="C16" s="150">
        <v>4</v>
      </c>
      <c r="D16" s="150">
        <v>13.7</v>
      </c>
      <c r="E16" s="150">
        <v>3.6</v>
      </c>
      <c r="F16" s="79">
        <v>3</v>
      </c>
      <c r="G16" s="78">
        <v>10.3</v>
      </c>
      <c r="H16" s="78">
        <f t="shared" si="4"/>
        <v>2.8037383177570092</v>
      </c>
      <c r="I16" s="79">
        <v>9</v>
      </c>
      <c r="J16" s="78">
        <v>31.3</v>
      </c>
      <c r="K16" s="78">
        <f t="shared" si="5"/>
        <v>10</v>
      </c>
      <c r="L16" s="79">
        <v>2</v>
      </c>
      <c r="M16" s="78">
        <f t="shared" si="0"/>
        <v>23</v>
      </c>
      <c r="N16" s="78">
        <f t="shared" si="6"/>
        <v>3.6363636363636362</v>
      </c>
      <c r="O16" s="79">
        <v>2</v>
      </c>
      <c r="P16" s="78">
        <f t="shared" si="1"/>
        <v>23.3</v>
      </c>
      <c r="Q16" s="78">
        <f t="shared" si="7"/>
        <v>3.8461538461538463</v>
      </c>
      <c r="R16" s="124">
        <f t="shared" si="8"/>
        <v>1.3043478260869534</v>
      </c>
      <c r="S16" s="124">
        <f t="shared" si="2"/>
        <v>20.32</v>
      </c>
      <c r="T16" s="138">
        <f t="shared" si="3"/>
        <v>14.665354330708652</v>
      </c>
    </row>
    <row r="17" spans="1:20" ht="24" x14ac:dyDescent="0.25">
      <c r="A17" s="127">
        <v>11</v>
      </c>
      <c r="B17" s="13" t="s">
        <v>118</v>
      </c>
      <c r="C17" s="150">
        <v>2</v>
      </c>
      <c r="D17" s="150">
        <v>6.8</v>
      </c>
      <c r="E17" s="150">
        <v>1.8</v>
      </c>
      <c r="F17" s="79">
        <v>4</v>
      </c>
      <c r="G17" s="78">
        <v>13.8</v>
      </c>
      <c r="H17" s="78">
        <f t="shared" si="4"/>
        <v>3.7383177570093453</v>
      </c>
      <c r="I17" s="79">
        <v>5</v>
      </c>
      <c r="J17" s="78">
        <v>17.399999999999999</v>
      </c>
      <c r="K17" s="78">
        <f t="shared" si="5"/>
        <v>5.5555555555555554</v>
      </c>
      <c r="L17" s="79">
        <v>4</v>
      </c>
      <c r="M17" s="78">
        <f t="shared" si="0"/>
        <v>46</v>
      </c>
      <c r="N17" s="78">
        <f t="shared" si="6"/>
        <v>7.2727272727272725</v>
      </c>
      <c r="O17" s="79">
        <v>5</v>
      </c>
      <c r="P17" s="78">
        <f t="shared" si="1"/>
        <v>58.3</v>
      </c>
      <c r="Q17" s="78">
        <f t="shared" si="7"/>
        <v>9.6153846153846168</v>
      </c>
      <c r="R17" s="124">
        <f t="shared" si="8"/>
        <v>26.739130434782595</v>
      </c>
      <c r="S17" s="124">
        <f t="shared" si="2"/>
        <v>28.46</v>
      </c>
      <c r="T17" s="124" t="s">
        <v>276</v>
      </c>
    </row>
    <row r="18" spans="1:20" ht="24" x14ac:dyDescent="0.25">
      <c r="A18" s="127">
        <v>12</v>
      </c>
      <c r="B18" s="13" t="s">
        <v>131</v>
      </c>
      <c r="C18" s="150">
        <v>0</v>
      </c>
      <c r="D18" s="150">
        <v>0</v>
      </c>
      <c r="E18" s="150">
        <v>0</v>
      </c>
      <c r="F18" s="79">
        <v>1</v>
      </c>
      <c r="G18" s="78">
        <v>3.4</v>
      </c>
      <c r="H18" s="78">
        <f t="shared" si="4"/>
        <v>0.93457943925233633</v>
      </c>
      <c r="I18" s="79">
        <v>1</v>
      </c>
      <c r="J18" s="78">
        <v>3.5</v>
      </c>
      <c r="K18" s="78">
        <f t="shared" si="5"/>
        <v>1.1111111111111112</v>
      </c>
      <c r="L18" s="79">
        <v>3</v>
      </c>
      <c r="M18" s="78">
        <f t="shared" si="0"/>
        <v>34.5</v>
      </c>
      <c r="N18" s="78">
        <f t="shared" si="6"/>
        <v>5.4545454545454541</v>
      </c>
      <c r="O18" s="79">
        <v>4</v>
      </c>
      <c r="P18" s="78">
        <f t="shared" si="1"/>
        <v>46.7</v>
      </c>
      <c r="Q18" s="78">
        <f t="shared" si="7"/>
        <v>7.6923076923076925</v>
      </c>
      <c r="R18" s="124">
        <f t="shared" si="8"/>
        <v>35.362318840579718</v>
      </c>
      <c r="S18" s="124">
        <f t="shared" si="2"/>
        <v>17.619999999999997</v>
      </c>
      <c r="T18" s="124" t="s">
        <v>277</v>
      </c>
    </row>
    <row r="19" spans="1:20" x14ac:dyDescent="0.25">
      <c r="A19" s="127">
        <v>13</v>
      </c>
      <c r="B19" s="13" t="s">
        <v>119</v>
      </c>
      <c r="C19" s="150">
        <v>3</v>
      </c>
      <c r="D19" s="150">
        <v>10.199999999999999</v>
      </c>
      <c r="E19" s="150">
        <v>2.7</v>
      </c>
      <c r="F19" s="79">
        <v>3</v>
      </c>
      <c r="G19" s="78">
        <v>10.3</v>
      </c>
      <c r="H19" s="78">
        <f t="shared" si="4"/>
        <v>2.8037383177570092</v>
      </c>
      <c r="I19" s="79">
        <v>4</v>
      </c>
      <c r="J19" s="78">
        <v>13.9</v>
      </c>
      <c r="K19" s="78">
        <f t="shared" si="5"/>
        <v>4.4444444444444446</v>
      </c>
      <c r="L19" s="79">
        <v>3</v>
      </c>
      <c r="M19" s="78">
        <f t="shared" si="0"/>
        <v>34.5</v>
      </c>
      <c r="N19" s="78">
        <f t="shared" si="6"/>
        <v>5.4545454545454541</v>
      </c>
      <c r="O19" s="79">
        <v>1</v>
      </c>
      <c r="P19" s="78">
        <f t="shared" si="1"/>
        <v>11.7</v>
      </c>
      <c r="Q19" s="78">
        <f t="shared" si="7"/>
        <v>1.9230769230769231</v>
      </c>
      <c r="R19" s="124">
        <f t="shared" si="8"/>
        <v>-66.086956521739125</v>
      </c>
      <c r="S19" s="124">
        <f t="shared" si="2"/>
        <v>16.12</v>
      </c>
      <c r="T19" s="138">
        <f t="shared" si="3"/>
        <v>-27.41935483870968</v>
      </c>
    </row>
    <row r="20" spans="1:20" ht="24" x14ac:dyDescent="0.25">
      <c r="A20" s="127">
        <v>14</v>
      </c>
      <c r="B20" s="13" t="s">
        <v>124</v>
      </c>
      <c r="C20" s="150">
        <v>4</v>
      </c>
      <c r="D20" s="150">
        <v>13.7</v>
      </c>
      <c r="E20" s="150">
        <v>3.6</v>
      </c>
      <c r="F20" s="79">
        <v>1</v>
      </c>
      <c r="G20" s="78">
        <v>3.4</v>
      </c>
      <c r="H20" s="78">
        <f t="shared" si="4"/>
        <v>0.93457943925233633</v>
      </c>
      <c r="I20" s="79">
        <v>0</v>
      </c>
      <c r="J20" s="78">
        <v>0</v>
      </c>
      <c r="K20" s="78">
        <f t="shared" si="5"/>
        <v>0</v>
      </c>
      <c r="L20" s="79">
        <v>0</v>
      </c>
      <c r="M20" s="78">
        <f t="shared" si="0"/>
        <v>0</v>
      </c>
      <c r="N20" s="78">
        <f t="shared" si="6"/>
        <v>0</v>
      </c>
      <c r="O20" s="79">
        <v>2</v>
      </c>
      <c r="P20" s="78">
        <f t="shared" si="1"/>
        <v>23.3</v>
      </c>
      <c r="Q20" s="78">
        <f t="shared" si="7"/>
        <v>3.8461538461538463</v>
      </c>
      <c r="R20" s="124">
        <v>100</v>
      </c>
      <c r="S20" s="124">
        <f t="shared" si="2"/>
        <v>8.08</v>
      </c>
      <c r="T20" s="124" t="s">
        <v>278</v>
      </c>
    </row>
    <row r="21" spans="1:20" x14ac:dyDescent="0.25">
      <c r="A21" s="127">
        <v>15</v>
      </c>
      <c r="B21" s="13" t="s">
        <v>195</v>
      </c>
      <c r="C21" s="150">
        <v>4</v>
      </c>
      <c r="D21" s="150">
        <v>13.7</v>
      </c>
      <c r="E21" s="150">
        <v>3.6</v>
      </c>
      <c r="F21" s="79">
        <v>5</v>
      </c>
      <c r="G21" s="78">
        <v>17.2</v>
      </c>
      <c r="H21" s="78">
        <f t="shared" si="4"/>
        <v>4.6728971962616823</v>
      </c>
      <c r="I21" s="79">
        <v>3</v>
      </c>
      <c r="J21" s="78">
        <v>10.4</v>
      </c>
      <c r="K21" s="78">
        <f t="shared" si="5"/>
        <v>3.3333333333333335</v>
      </c>
      <c r="L21" s="79">
        <v>0</v>
      </c>
      <c r="M21" s="78">
        <f t="shared" si="0"/>
        <v>0</v>
      </c>
      <c r="N21" s="78">
        <f t="shared" si="6"/>
        <v>0</v>
      </c>
      <c r="O21" s="79">
        <v>1</v>
      </c>
      <c r="P21" s="78">
        <f t="shared" si="1"/>
        <v>11.7</v>
      </c>
      <c r="Q21" s="78">
        <f t="shared" si="7"/>
        <v>1.9230769230769231</v>
      </c>
      <c r="R21" s="124">
        <v>100</v>
      </c>
      <c r="S21" s="124">
        <f t="shared" si="2"/>
        <v>10.6</v>
      </c>
      <c r="T21" s="124">
        <f t="shared" si="3"/>
        <v>10.377358490566024</v>
      </c>
    </row>
    <row r="22" spans="1:20" x14ac:dyDescent="0.25">
      <c r="A22" s="127">
        <v>16</v>
      </c>
      <c r="B22" s="13" t="s">
        <v>128</v>
      </c>
      <c r="C22" s="150">
        <v>1</v>
      </c>
      <c r="D22" s="150">
        <v>3.4</v>
      </c>
      <c r="E22" s="150">
        <v>0.9</v>
      </c>
      <c r="F22" s="79">
        <v>0</v>
      </c>
      <c r="G22" s="78">
        <v>0</v>
      </c>
      <c r="H22" s="78">
        <f t="shared" si="4"/>
        <v>0</v>
      </c>
      <c r="I22" s="79">
        <v>1</v>
      </c>
      <c r="J22" s="78">
        <v>3.5</v>
      </c>
      <c r="K22" s="78">
        <f t="shared" si="5"/>
        <v>1.1111111111111112</v>
      </c>
      <c r="L22" s="79">
        <v>1</v>
      </c>
      <c r="M22" s="78">
        <f t="shared" si="0"/>
        <v>11.5</v>
      </c>
      <c r="N22" s="78">
        <f t="shared" si="6"/>
        <v>1.8181818181818181</v>
      </c>
      <c r="O22" s="79">
        <v>0</v>
      </c>
      <c r="P22" s="78">
        <f t="shared" si="1"/>
        <v>0</v>
      </c>
      <c r="Q22" s="78">
        <f t="shared" si="7"/>
        <v>0</v>
      </c>
      <c r="R22" s="124">
        <f t="shared" si="8"/>
        <v>-100</v>
      </c>
      <c r="S22" s="124">
        <f t="shared" si="2"/>
        <v>3.6799999999999997</v>
      </c>
      <c r="T22" s="138">
        <f t="shared" si="3"/>
        <v>-100</v>
      </c>
    </row>
    <row r="23" spans="1:20" x14ac:dyDescent="0.25">
      <c r="A23" s="127">
        <v>17</v>
      </c>
      <c r="B23" s="13" t="s">
        <v>123</v>
      </c>
      <c r="C23" s="150">
        <v>2</v>
      </c>
      <c r="D23" s="150">
        <v>6.8</v>
      </c>
      <c r="E23" s="150">
        <v>1.8</v>
      </c>
      <c r="F23" s="79">
        <v>3</v>
      </c>
      <c r="G23" s="78">
        <v>10.3</v>
      </c>
      <c r="H23" s="78">
        <f t="shared" si="4"/>
        <v>2.8037383177570092</v>
      </c>
      <c r="I23" s="79">
        <v>2</v>
      </c>
      <c r="J23" s="78">
        <v>7</v>
      </c>
      <c r="K23" s="78">
        <f t="shared" si="5"/>
        <v>2.2222222222222223</v>
      </c>
      <c r="L23" s="79">
        <v>3</v>
      </c>
      <c r="M23" s="78">
        <f t="shared" si="0"/>
        <v>34.5</v>
      </c>
      <c r="N23" s="78">
        <f t="shared" si="6"/>
        <v>5.4545454545454541</v>
      </c>
      <c r="O23" s="79">
        <v>0</v>
      </c>
      <c r="P23" s="78">
        <f t="shared" si="1"/>
        <v>0</v>
      </c>
      <c r="Q23" s="78">
        <f t="shared" si="7"/>
        <v>0</v>
      </c>
      <c r="R23" s="124">
        <f t="shared" si="8"/>
        <v>-100</v>
      </c>
      <c r="S23" s="124">
        <f t="shared" si="2"/>
        <v>11.72</v>
      </c>
      <c r="T23" s="138">
        <f t="shared" si="3"/>
        <v>-100</v>
      </c>
    </row>
    <row r="24" spans="1:20" x14ac:dyDescent="0.25">
      <c r="A24" s="127">
        <v>18</v>
      </c>
      <c r="B24" s="13" t="s">
        <v>126</v>
      </c>
      <c r="C24" s="150">
        <v>1</v>
      </c>
      <c r="D24" s="150">
        <v>3.4</v>
      </c>
      <c r="E24" s="150">
        <v>0.9</v>
      </c>
      <c r="F24" s="79">
        <v>7</v>
      </c>
      <c r="G24" s="78">
        <v>24.1</v>
      </c>
      <c r="H24" s="78">
        <f t="shared" si="4"/>
        <v>6.5420560747663545</v>
      </c>
      <c r="I24" s="79">
        <v>3</v>
      </c>
      <c r="J24" s="78">
        <v>10.4</v>
      </c>
      <c r="K24" s="78">
        <f t="shared" si="5"/>
        <v>3.3333333333333335</v>
      </c>
      <c r="L24" s="79">
        <v>0</v>
      </c>
      <c r="M24" s="78">
        <f t="shared" si="0"/>
        <v>0</v>
      </c>
      <c r="N24" s="78">
        <f t="shared" si="6"/>
        <v>0</v>
      </c>
      <c r="O24" s="79">
        <v>1</v>
      </c>
      <c r="P24" s="78">
        <f t="shared" si="1"/>
        <v>11.7</v>
      </c>
      <c r="Q24" s="78">
        <f t="shared" si="7"/>
        <v>1.9230769230769231</v>
      </c>
      <c r="R24" s="124">
        <v>100</v>
      </c>
      <c r="S24" s="124">
        <f t="shared" si="2"/>
        <v>9.9199999999999982</v>
      </c>
      <c r="T24" s="138">
        <f t="shared" si="3"/>
        <v>17.943548387096797</v>
      </c>
    </row>
    <row r="25" spans="1:20" x14ac:dyDescent="0.25">
      <c r="A25" s="127">
        <v>19</v>
      </c>
      <c r="B25" s="13" t="s">
        <v>199</v>
      </c>
      <c r="C25" s="150">
        <v>1</v>
      </c>
      <c r="D25" s="150">
        <v>3.4</v>
      </c>
      <c r="E25" s="150">
        <v>0.9</v>
      </c>
      <c r="F25" s="79">
        <v>0</v>
      </c>
      <c r="G25" s="78">
        <v>0</v>
      </c>
      <c r="H25" s="78">
        <f t="shared" si="4"/>
        <v>0</v>
      </c>
      <c r="I25" s="79">
        <v>1</v>
      </c>
      <c r="J25" s="78">
        <v>3.5</v>
      </c>
      <c r="K25" s="78">
        <f t="shared" si="5"/>
        <v>1.1111111111111112</v>
      </c>
      <c r="L25" s="79">
        <v>1</v>
      </c>
      <c r="M25" s="78">
        <f t="shared" si="0"/>
        <v>11.5</v>
      </c>
      <c r="N25" s="78">
        <f t="shared" si="6"/>
        <v>1.8181818181818181</v>
      </c>
      <c r="O25" s="79">
        <v>0</v>
      </c>
      <c r="P25" s="78">
        <f t="shared" si="1"/>
        <v>0</v>
      </c>
      <c r="Q25" s="78">
        <f t="shared" si="7"/>
        <v>0</v>
      </c>
      <c r="R25" s="124">
        <f t="shared" si="8"/>
        <v>-100</v>
      </c>
      <c r="S25" s="124">
        <f t="shared" si="2"/>
        <v>3.6799999999999997</v>
      </c>
      <c r="T25" s="138">
        <f t="shared" si="3"/>
        <v>-100</v>
      </c>
    </row>
    <row r="26" spans="1:20" x14ac:dyDescent="0.25">
      <c r="A26" s="127">
        <v>20</v>
      </c>
      <c r="B26" s="13" t="s">
        <v>138</v>
      </c>
      <c r="C26" s="150">
        <v>1</v>
      </c>
      <c r="D26" s="150">
        <v>3.4</v>
      </c>
      <c r="E26" s="150">
        <v>0.9</v>
      </c>
      <c r="F26" s="79">
        <v>3</v>
      </c>
      <c r="G26" s="78">
        <v>10.3</v>
      </c>
      <c r="H26" s="78">
        <f t="shared" si="4"/>
        <v>2.8037383177570092</v>
      </c>
      <c r="I26" s="79">
        <v>1</v>
      </c>
      <c r="J26" s="78">
        <v>3.5</v>
      </c>
      <c r="K26" s="78">
        <f t="shared" si="5"/>
        <v>1.1111111111111112</v>
      </c>
      <c r="L26" s="79">
        <v>2</v>
      </c>
      <c r="M26" s="78">
        <f t="shared" si="0"/>
        <v>23</v>
      </c>
      <c r="N26" s="78">
        <f t="shared" si="6"/>
        <v>3.6363636363636362</v>
      </c>
      <c r="O26" s="79">
        <v>0</v>
      </c>
      <c r="P26" s="78">
        <f t="shared" si="1"/>
        <v>0</v>
      </c>
      <c r="Q26" s="78">
        <f t="shared" si="7"/>
        <v>0</v>
      </c>
      <c r="R26" s="124">
        <f t="shared" si="8"/>
        <v>-100</v>
      </c>
      <c r="S26" s="124">
        <v>1.26</v>
      </c>
      <c r="T26" s="138">
        <f t="shared" si="3"/>
        <v>-100</v>
      </c>
    </row>
    <row r="27" spans="1:20" ht="18" customHeight="1" x14ac:dyDescent="0.25">
      <c r="A27" s="127">
        <v>21</v>
      </c>
      <c r="B27" s="13" t="s">
        <v>197</v>
      </c>
      <c r="C27" s="150">
        <v>0</v>
      </c>
      <c r="D27" s="150">
        <v>0</v>
      </c>
      <c r="E27" s="150">
        <v>0</v>
      </c>
      <c r="F27" s="79">
        <v>1</v>
      </c>
      <c r="G27" s="78">
        <v>3.4</v>
      </c>
      <c r="H27" s="78">
        <f t="shared" si="4"/>
        <v>0.93457943925233633</v>
      </c>
      <c r="I27" s="79">
        <v>2</v>
      </c>
      <c r="J27" s="78">
        <v>7</v>
      </c>
      <c r="K27" s="78">
        <f t="shared" si="5"/>
        <v>2.2222222222222223</v>
      </c>
      <c r="L27" s="79">
        <v>0</v>
      </c>
      <c r="M27" s="78">
        <f t="shared" si="0"/>
        <v>0</v>
      </c>
      <c r="N27" s="78">
        <f t="shared" si="6"/>
        <v>0</v>
      </c>
      <c r="O27" s="79">
        <v>0</v>
      </c>
      <c r="P27" s="78">
        <f t="shared" si="1"/>
        <v>0</v>
      </c>
      <c r="Q27" s="78">
        <f t="shared" si="7"/>
        <v>0</v>
      </c>
      <c r="R27" s="124">
        <v>0</v>
      </c>
      <c r="S27" s="124">
        <f t="shared" si="2"/>
        <v>2.08</v>
      </c>
      <c r="T27" s="138">
        <f t="shared" si="3"/>
        <v>-100</v>
      </c>
    </row>
    <row r="28" spans="1:20" x14ac:dyDescent="0.25">
      <c r="A28" s="127">
        <v>22</v>
      </c>
      <c r="B28" s="13" t="s">
        <v>196</v>
      </c>
      <c r="C28" s="150">
        <v>3</v>
      </c>
      <c r="D28" s="150">
        <v>10.199999999999999</v>
      </c>
      <c r="E28" s="150">
        <v>2.7</v>
      </c>
      <c r="F28" s="79">
        <v>0</v>
      </c>
      <c r="G28" s="78">
        <v>0</v>
      </c>
      <c r="H28" s="78">
        <f t="shared" si="4"/>
        <v>0</v>
      </c>
      <c r="I28" s="79">
        <v>1</v>
      </c>
      <c r="J28" s="78">
        <v>3.5</v>
      </c>
      <c r="K28" s="78">
        <f t="shared" si="5"/>
        <v>1.1111111111111112</v>
      </c>
      <c r="L28" s="79">
        <v>0</v>
      </c>
      <c r="M28" s="78">
        <f t="shared" si="0"/>
        <v>0</v>
      </c>
      <c r="N28" s="78">
        <f t="shared" si="6"/>
        <v>0</v>
      </c>
      <c r="O28" s="79">
        <v>0</v>
      </c>
      <c r="P28" s="78">
        <f t="shared" si="1"/>
        <v>0</v>
      </c>
      <c r="Q28" s="78">
        <f t="shared" si="7"/>
        <v>0</v>
      </c>
      <c r="R28" s="124">
        <v>0</v>
      </c>
      <c r="S28" s="124">
        <f t="shared" si="2"/>
        <v>2.7399999999999998</v>
      </c>
      <c r="T28" s="138">
        <f t="shared" si="3"/>
        <v>-100</v>
      </c>
    </row>
    <row r="29" spans="1:20" x14ac:dyDescent="0.25">
      <c r="A29" s="111"/>
      <c r="B29" s="13" t="s">
        <v>127</v>
      </c>
      <c r="C29" s="150">
        <v>2</v>
      </c>
      <c r="D29" s="150">
        <v>6.8</v>
      </c>
      <c r="E29" s="150">
        <v>1.8</v>
      </c>
      <c r="F29" s="79">
        <v>1</v>
      </c>
      <c r="G29" s="78">
        <v>3.4</v>
      </c>
      <c r="H29" s="78">
        <f t="shared" si="4"/>
        <v>0.93457943925233633</v>
      </c>
      <c r="I29" s="79">
        <v>2</v>
      </c>
      <c r="J29" s="78">
        <v>7</v>
      </c>
      <c r="K29" s="78">
        <f t="shared" si="5"/>
        <v>2.2222222222222223</v>
      </c>
      <c r="L29" s="79">
        <v>0</v>
      </c>
      <c r="M29" s="78">
        <f t="shared" si="0"/>
        <v>0</v>
      </c>
      <c r="N29" s="78">
        <f t="shared" si="6"/>
        <v>0</v>
      </c>
      <c r="O29" s="79">
        <v>0</v>
      </c>
      <c r="P29" s="78">
        <f t="shared" si="1"/>
        <v>0</v>
      </c>
      <c r="Q29" s="78">
        <f t="shared" si="7"/>
        <v>0</v>
      </c>
      <c r="R29" s="124">
        <v>0</v>
      </c>
      <c r="S29" s="124">
        <f t="shared" si="2"/>
        <v>3.44</v>
      </c>
      <c r="T29" s="138">
        <f t="shared" si="3"/>
        <v>-100</v>
      </c>
    </row>
    <row r="30" spans="1:20" x14ac:dyDescent="0.25">
      <c r="A30" s="111"/>
      <c r="B30" s="13" t="s">
        <v>129</v>
      </c>
      <c r="C30" s="150">
        <v>4</v>
      </c>
      <c r="D30" s="150">
        <v>13.7</v>
      </c>
      <c r="E30" s="150">
        <v>3.6</v>
      </c>
      <c r="F30" s="79">
        <v>3</v>
      </c>
      <c r="G30" s="78">
        <v>10.3</v>
      </c>
      <c r="H30" s="78">
        <f t="shared" si="4"/>
        <v>2.8037383177570092</v>
      </c>
      <c r="I30" s="79">
        <v>1</v>
      </c>
      <c r="J30" s="78">
        <v>3.5</v>
      </c>
      <c r="K30" s="78">
        <f t="shared" si="5"/>
        <v>1.1111111111111112</v>
      </c>
      <c r="L30" s="79">
        <v>0</v>
      </c>
      <c r="M30" s="78">
        <f t="shared" si="0"/>
        <v>0</v>
      </c>
      <c r="N30" s="78">
        <f t="shared" si="6"/>
        <v>0</v>
      </c>
      <c r="O30" s="79">
        <v>0</v>
      </c>
      <c r="P30" s="78">
        <f t="shared" si="1"/>
        <v>0</v>
      </c>
      <c r="Q30" s="78">
        <f t="shared" si="7"/>
        <v>0</v>
      </c>
      <c r="R30" s="124">
        <v>0</v>
      </c>
      <c r="S30" s="124">
        <f t="shared" si="2"/>
        <v>5.5</v>
      </c>
      <c r="T30" s="138">
        <f t="shared" si="3"/>
        <v>-100</v>
      </c>
    </row>
    <row r="31" spans="1:20" x14ac:dyDescent="0.25">
      <c r="A31" s="111"/>
      <c r="B31" s="13" t="s">
        <v>193</v>
      </c>
      <c r="C31" s="150">
        <v>6</v>
      </c>
      <c r="D31" s="150">
        <v>20.5</v>
      </c>
      <c r="E31" s="150">
        <v>5.4</v>
      </c>
      <c r="F31" s="79">
        <v>4</v>
      </c>
      <c r="G31" s="78">
        <v>13.8</v>
      </c>
      <c r="H31" s="78">
        <f t="shared" si="4"/>
        <v>3.7383177570093453</v>
      </c>
      <c r="I31" s="79">
        <v>2</v>
      </c>
      <c r="J31" s="78">
        <v>7</v>
      </c>
      <c r="K31" s="78">
        <f t="shared" si="5"/>
        <v>2.2222222222222223</v>
      </c>
      <c r="L31" s="79">
        <v>5</v>
      </c>
      <c r="M31" s="78">
        <f t="shared" si="0"/>
        <v>57.5</v>
      </c>
      <c r="N31" s="78">
        <f t="shared" si="6"/>
        <v>9.0909090909090917</v>
      </c>
      <c r="O31" s="79">
        <v>3</v>
      </c>
      <c r="P31" s="78">
        <f t="shared" si="1"/>
        <v>35</v>
      </c>
      <c r="Q31" s="78">
        <f t="shared" si="7"/>
        <v>5.7692307692307692</v>
      </c>
      <c r="R31" s="124">
        <f t="shared" si="8"/>
        <v>-39.130434782608688</v>
      </c>
      <c r="S31" s="124">
        <f t="shared" si="2"/>
        <v>26.76</v>
      </c>
      <c r="T31" s="138">
        <f t="shared" si="3"/>
        <v>30.792227204783245</v>
      </c>
    </row>
  </sheetData>
  <mergeCells count="10">
    <mergeCell ref="T4:T5"/>
    <mergeCell ref="R4:R5"/>
    <mergeCell ref="S4:S5"/>
    <mergeCell ref="O4:Q4"/>
    <mergeCell ref="A4:A5"/>
    <mergeCell ref="B4:B5"/>
    <mergeCell ref="L4:N4"/>
    <mergeCell ref="C4:E4"/>
    <mergeCell ref="F4:H4"/>
    <mergeCell ref="I4:K4"/>
  </mergeCells>
  <pageMargins left="0.98425196850393704" right="0.98425196850393704" top="0.98425196850393704" bottom="0.98425196850393704" header="0.51181102362204722" footer="0.51181102362204722"/>
  <pageSetup paperSize="9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view="pageBreakPreview" zoomScaleNormal="90" zoomScaleSheetLayoutView="100" workbookViewId="0">
      <selection activeCell="L15" sqref="L15"/>
    </sheetView>
  </sheetViews>
  <sheetFormatPr defaultRowHeight="15" x14ac:dyDescent="0.25"/>
  <cols>
    <col min="1" max="1" width="3.7109375" customWidth="1"/>
    <col min="2" max="2" width="26.42578125" customWidth="1"/>
    <col min="3" max="3" width="5.28515625" bestFit="1" customWidth="1"/>
    <col min="4" max="4" width="5.85546875" customWidth="1"/>
    <col min="5" max="5" width="6.85546875" customWidth="1"/>
    <col min="6" max="6" width="5.28515625" bestFit="1" customWidth="1"/>
    <col min="7" max="7" width="6" customWidth="1"/>
    <col min="8" max="8" width="6.85546875" customWidth="1"/>
    <col min="9" max="9" width="5.28515625" bestFit="1" customWidth="1"/>
    <col min="10" max="10" width="6" customWidth="1"/>
    <col min="11" max="11" width="6.85546875" customWidth="1"/>
    <col min="12" max="12" width="5.140625" customWidth="1"/>
    <col min="13" max="13" width="6" customWidth="1"/>
    <col min="14" max="14" width="6.85546875" customWidth="1"/>
    <col min="15" max="15" width="5.140625" customWidth="1"/>
    <col min="16" max="16" width="6" customWidth="1"/>
    <col min="17" max="17" width="6.85546875" customWidth="1"/>
    <col min="18" max="18" width="7.42578125" customWidth="1"/>
    <col min="19" max="19" width="6.42578125" bestFit="1" customWidth="1"/>
    <col min="20" max="20" width="7.28515625" customWidth="1"/>
  </cols>
  <sheetData>
    <row r="1" spans="1:20" x14ac:dyDescent="0.25">
      <c r="T1" s="10" t="s">
        <v>185</v>
      </c>
    </row>
    <row r="2" spans="1:20" x14ac:dyDescent="0.25">
      <c r="A2" s="60" t="s">
        <v>132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55"/>
      <c r="S2" s="55"/>
      <c r="T2" s="55"/>
    </row>
    <row r="3" spans="1:20" ht="58.5" customHeight="1" x14ac:dyDescent="0.25">
      <c r="A3" s="159" t="s">
        <v>0</v>
      </c>
      <c r="B3" s="159" t="s">
        <v>1</v>
      </c>
      <c r="C3" s="159" t="s">
        <v>183</v>
      </c>
      <c r="D3" s="159"/>
      <c r="E3" s="159"/>
      <c r="F3" s="159" t="s">
        <v>184</v>
      </c>
      <c r="G3" s="159"/>
      <c r="H3" s="159"/>
      <c r="I3" s="159" t="s">
        <v>245</v>
      </c>
      <c r="J3" s="159"/>
      <c r="K3" s="159"/>
      <c r="L3" s="159" t="s">
        <v>247</v>
      </c>
      <c r="M3" s="159"/>
      <c r="N3" s="159"/>
      <c r="O3" s="159" t="s">
        <v>247</v>
      </c>
      <c r="P3" s="159"/>
      <c r="Q3" s="159"/>
      <c r="R3" s="172" t="s">
        <v>144</v>
      </c>
      <c r="S3" s="172" t="s">
        <v>109</v>
      </c>
      <c r="T3" s="172" t="s">
        <v>145</v>
      </c>
    </row>
    <row r="4" spans="1:20" ht="30" x14ac:dyDescent="0.25">
      <c r="A4" s="159"/>
      <c r="B4" s="159"/>
      <c r="C4" s="73" t="s">
        <v>2</v>
      </c>
      <c r="D4" s="73" t="s">
        <v>3</v>
      </c>
      <c r="E4" s="73" t="s">
        <v>98</v>
      </c>
      <c r="F4" s="73" t="s">
        <v>2</v>
      </c>
      <c r="G4" s="73" t="s">
        <v>3</v>
      </c>
      <c r="H4" s="73" t="s">
        <v>98</v>
      </c>
      <c r="I4" s="73" t="s">
        <v>2</v>
      </c>
      <c r="J4" s="73" t="s">
        <v>3</v>
      </c>
      <c r="K4" s="73" t="s">
        <v>98</v>
      </c>
      <c r="L4" s="73" t="s">
        <v>2</v>
      </c>
      <c r="M4" s="73" t="s">
        <v>3</v>
      </c>
      <c r="N4" s="73" t="s">
        <v>98</v>
      </c>
      <c r="O4" s="97" t="s">
        <v>2</v>
      </c>
      <c r="P4" s="97" t="s">
        <v>3</v>
      </c>
      <c r="Q4" s="97" t="s">
        <v>98</v>
      </c>
      <c r="R4" s="173"/>
      <c r="S4" s="173"/>
      <c r="T4" s="173"/>
    </row>
    <row r="5" spans="1:20" x14ac:dyDescent="0.25">
      <c r="A5" s="25"/>
      <c r="B5" s="74" t="s">
        <v>58</v>
      </c>
      <c r="C5" s="71">
        <v>22</v>
      </c>
      <c r="D5" s="71">
        <v>145.19999999999999</v>
      </c>
      <c r="E5" s="71">
        <v>100</v>
      </c>
      <c r="F5" s="79">
        <v>48</v>
      </c>
      <c r="G5" s="78">
        <v>311.89999999999998</v>
      </c>
      <c r="H5" s="78">
        <v>100</v>
      </c>
      <c r="I5" s="79">
        <v>57</v>
      </c>
      <c r="J5" s="78">
        <v>370.3</v>
      </c>
      <c r="K5" s="78">
        <v>100</v>
      </c>
      <c r="L5" s="79">
        <v>22</v>
      </c>
      <c r="M5" s="78">
        <f>ROUND((L5*100000/8696),1)</f>
        <v>253</v>
      </c>
      <c r="N5" s="78">
        <v>100</v>
      </c>
      <c r="O5" s="79">
        <v>19</v>
      </c>
      <c r="P5" s="78">
        <f>ROUND((O5*100000/8571),1)</f>
        <v>221.7</v>
      </c>
      <c r="Q5" s="78">
        <v>100</v>
      </c>
      <c r="R5" s="124">
        <f>P5/M5*100-100</f>
        <v>-12.371541501976296</v>
      </c>
      <c r="S5" s="124">
        <f>SUM(D5,G5,J5,M5)/4</f>
        <v>270.10000000000002</v>
      </c>
      <c r="T5" s="124">
        <f>P5/S5*100-100</f>
        <v>-17.919289152165874</v>
      </c>
    </row>
    <row r="6" spans="1:20" x14ac:dyDescent="0.25">
      <c r="A6" s="25">
        <v>1</v>
      </c>
      <c r="B6" s="74" t="s">
        <v>133</v>
      </c>
      <c r="C6" s="71">
        <v>2</v>
      </c>
      <c r="D6" s="71">
        <v>13.2</v>
      </c>
      <c r="E6" s="83">
        <f>C6/$I$5*100</f>
        <v>3.5087719298245612</v>
      </c>
      <c r="F6" s="79">
        <v>5</v>
      </c>
      <c r="G6" s="78">
        <v>32.5</v>
      </c>
      <c r="H6" s="78">
        <f>F6/F$5*100</f>
        <v>10.416666666666668</v>
      </c>
      <c r="I6" s="79">
        <v>8</v>
      </c>
      <c r="J6" s="78">
        <v>52</v>
      </c>
      <c r="K6" s="78">
        <f>I6/I$5*100</f>
        <v>14.035087719298245</v>
      </c>
      <c r="L6" s="79">
        <v>5</v>
      </c>
      <c r="M6" s="78">
        <f t="shared" ref="M6:M20" si="0">ROUND((L6*100000/8696),1)</f>
        <v>57.5</v>
      </c>
      <c r="N6" s="78">
        <f>L6/L$5*100</f>
        <v>22.727272727272727</v>
      </c>
      <c r="O6" s="79">
        <v>4</v>
      </c>
      <c r="P6" s="78">
        <f t="shared" ref="P6:P20" si="1">ROUND((O6*100000/8571),1)</f>
        <v>46.7</v>
      </c>
      <c r="Q6" s="78">
        <f>O6/O$5*100</f>
        <v>21.052631578947366</v>
      </c>
      <c r="R6" s="124">
        <f t="shared" ref="R6:R20" si="2">P6/M6*100-100</f>
        <v>-18.782608695652172</v>
      </c>
      <c r="S6" s="124">
        <f t="shared" ref="S6:S20" si="3">SUM(D6,G6,J6,M6)/4</f>
        <v>38.799999999999997</v>
      </c>
      <c r="T6" s="124">
        <f t="shared" ref="T6:T20" si="4">P6/S6*100-100</f>
        <v>20.360824742268051</v>
      </c>
    </row>
    <row r="7" spans="1:20" ht="15.75" customHeight="1" x14ac:dyDescent="0.25">
      <c r="A7" s="25">
        <v>2</v>
      </c>
      <c r="B7" s="74" t="s">
        <v>134</v>
      </c>
      <c r="C7" s="71">
        <v>2</v>
      </c>
      <c r="D7" s="71">
        <v>13.2</v>
      </c>
      <c r="E7" s="83">
        <f t="shared" ref="E7:E19" si="5">C7/$I$5*100</f>
        <v>3.5087719298245612</v>
      </c>
      <c r="F7" s="79">
        <v>8</v>
      </c>
      <c r="G7" s="78">
        <v>52</v>
      </c>
      <c r="H7" s="78">
        <f t="shared" ref="H7:H10" si="6">F7/F$5*100</f>
        <v>16.666666666666664</v>
      </c>
      <c r="I7" s="79">
        <v>2</v>
      </c>
      <c r="J7" s="78">
        <v>13</v>
      </c>
      <c r="K7" s="78">
        <f t="shared" ref="K7:K20" si="7">I7/I$5*100</f>
        <v>3.5087719298245612</v>
      </c>
      <c r="L7" s="79">
        <v>0</v>
      </c>
      <c r="M7" s="78">
        <f t="shared" si="0"/>
        <v>0</v>
      </c>
      <c r="N7" s="78">
        <f t="shared" ref="N7:N20" si="8">L7/L$5*100</f>
        <v>0</v>
      </c>
      <c r="O7" s="79">
        <v>3</v>
      </c>
      <c r="P7" s="78">
        <f t="shared" si="1"/>
        <v>35</v>
      </c>
      <c r="Q7" s="78">
        <f t="shared" ref="Q7:Q20" si="9">O7/O$5*100</f>
        <v>15.789473684210526</v>
      </c>
      <c r="R7" s="124">
        <v>100</v>
      </c>
      <c r="S7" s="124">
        <f t="shared" si="3"/>
        <v>19.55</v>
      </c>
      <c r="T7" s="124">
        <f t="shared" si="4"/>
        <v>79.028132992327357</v>
      </c>
    </row>
    <row r="8" spans="1:20" x14ac:dyDescent="0.25">
      <c r="A8" s="25">
        <v>3</v>
      </c>
      <c r="B8" s="74" t="s">
        <v>120</v>
      </c>
      <c r="C8" s="71">
        <v>1</v>
      </c>
      <c r="D8" s="71">
        <v>6.6</v>
      </c>
      <c r="E8" s="83">
        <f t="shared" si="5"/>
        <v>1.7543859649122806</v>
      </c>
      <c r="F8" s="79">
        <v>2</v>
      </c>
      <c r="G8" s="78">
        <v>13</v>
      </c>
      <c r="H8" s="78">
        <f t="shared" si="6"/>
        <v>4.1666666666666661</v>
      </c>
      <c r="I8" s="79">
        <v>3</v>
      </c>
      <c r="J8" s="78">
        <v>19.5</v>
      </c>
      <c r="K8" s="78">
        <f t="shared" si="7"/>
        <v>5.2631578947368416</v>
      </c>
      <c r="L8" s="79">
        <v>0</v>
      </c>
      <c r="M8" s="78">
        <f t="shared" si="0"/>
        <v>0</v>
      </c>
      <c r="N8" s="78">
        <f t="shared" si="8"/>
        <v>0</v>
      </c>
      <c r="O8" s="79">
        <v>1</v>
      </c>
      <c r="P8" s="78">
        <f t="shared" si="1"/>
        <v>11.7</v>
      </c>
      <c r="Q8" s="78">
        <f t="shared" si="9"/>
        <v>5.2631578947368416</v>
      </c>
      <c r="R8" s="124">
        <v>100</v>
      </c>
      <c r="S8" s="124">
        <f t="shared" si="3"/>
        <v>9.7750000000000004</v>
      </c>
      <c r="T8" s="124">
        <f t="shared" si="4"/>
        <v>19.693094629156008</v>
      </c>
    </row>
    <row r="9" spans="1:20" x14ac:dyDescent="0.25">
      <c r="A9" s="25">
        <v>4</v>
      </c>
      <c r="B9" s="74" t="s">
        <v>119</v>
      </c>
      <c r="C9" s="71">
        <v>1</v>
      </c>
      <c r="D9" s="71">
        <v>6.6</v>
      </c>
      <c r="E9" s="83">
        <f t="shared" si="5"/>
        <v>1.7543859649122806</v>
      </c>
      <c r="F9" s="79">
        <v>2</v>
      </c>
      <c r="G9" s="78">
        <v>13</v>
      </c>
      <c r="H9" s="78">
        <f t="shared" si="6"/>
        <v>4.1666666666666661</v>
      </c>
      <c r="I9" s="79">
        <v>3</v>
      </c>
      <c r="J9" s="78">
        <v>19.5</v>
      </c>
      <c r="K9" s="78">
        <f t="shared" si="7"/>
        <v>5.2631578947368416</v>
      </c>
      <c r="L9" s="79">
        <v>1</v>
      </c>
      <c r="M9" s="78">
        <f t="shared" si="0"/>
        <v>11.5</v>
      </c>
      <c r="N9" s="78">
        <f t="shared" si="8"/>
        <v>4.5454545454545459</v>
      </c>
      <c r="O9" s="79">
        <v>0</v>
      </c>
      <c r="P9" s="78">
        <f t="shared" si="1"/>
        <v>0</v>
      </c>
      <c r="Q9" s="78">
        <f t="shared" si="9"/>
        <v>0</v>
      </c>
      <c r="R9" s="124">
        <f t="shared" si="2"/>
        <v>-100</v>
      </c>
      <c r="S9" s="124">
        <f t="shared" si="3"/>
        <v>12.65</v>
      </c>
      <c r="T9" s="124">
        <f t="shared" si="4"/>
        <v>-100</v>
      </c>
    </row>
    <row r="10" spans="1:20" ht="25.5" customHeight="1" x14ac:dyDescent="0.25">
      <c r="A10" s="25">
        <v>5</v>
      </c>
      <c r="B10" s="74" t="s">
        <v>181</v>
      </c>
      <c r="C10" s="71">
        <v>0</v>
      </c>
      <c r="D10" s="71">
        <v>0</v>
      </c>
      <c r="E10" s="83">
        <f t="shared" si="5"/>
        <v>0</v>
      </c>
      <c r="F10" s="79">
        <v>0</v>
      </c>
      <c r="G10" s="78">
        <v>0</v>
      </c>
      <c r="H10" s="78">
        <f t="shared" si="6"/>
        <v>0</v>
      </c>
      <c r="I10" s="79">
        <v>7</v>
      </c>
      <c r="J10" s="78">
        <v>45.5</v>
      </c>
      <c r="K10" s="78">
        <f t="shared" si="7"/>
        <v>12.280701754385964</v>
      </c>
      <c r="L10" s="79">
        <v>0</v>
      </c>
      <c r="M10" s="78">
        <f t="shared" si="0"/>
        <v>0</v>
      </c>
      <c r="N10" s="78">
        <f t="shared" si="8"/>
        <v>0</v>
      </c>
      <c r="O10" s="79">
        <v>1</v>
      </c>
      <c r="P10" s="78">
        <f t="shared" si="1"/>
        <v>11.7</v>
      </c>
      <c r="Q10" s="78">
        <f t="shared" si="9"/>
        <v>5.2631578947368416</v>
      </c>
      <c r="R10" s="124">
        <v>100</v>
      </c>
      <c r="S10" s="124">
        <f t="shared" si="3"/>
        <v>11.375</v>
      </c>
      <c r="T10" s="124">
        <f t="shared" si="4"/>
        <v>2.857142857142847</v>
      </c>
    </row>
    <row r="11" spans="1:20" x14ac:dyDescent="0.25">
      <c r="A11" s="25">
        <v>6</v>
      </c>
      <c r="B11" s="74" t="s">
        <v>122</v>
      </c>
      <c r="C11" s="71">
        <v>1</v>
      </c>
      <c r="D11" s="71">
        <v>6.6</v>
      </c>
      <c r="E11" s="83">
        <f t="shared" si="5"/>
        <v>1.7543859649122806</v>
      </c>
      <c r="F11" s="79">
        <v>3</v>
      </c>
      <c r="G11" s="78">
        <v>19.5</v>
      </c>
      <c r="H11" s="78">
        <f>F11/F$5*100</f>
        <v>6.25</v>
      </c>
      <c r="I11" s="79">
        <v>4</v>
      </c>
      <c r="J11" s="78">
        <v>26</v>
      </c>
      <c r="K11" s="78">
        <f t="shared" si="7"/>
        <v>7.0175438596491224</v>
      </c>
      <c r="L11" s="79">
        <v>2</v>
      </c>
      <c r="M11" s="78">
        <f t="shared" si="0"/>
        <v>23</v>
      </c>
      <c r="N11" s="78">
        <f t="shared" si="8"/>
        <v>9.0909090909090917</v>
      </c>
      <c r="O11" s="79">
        <v>0</v>
      </c>
      <c r="P11" s="78">
        <f t="shared" si="1"/>
        <v>0</v>
      </c>
      <c r="Q11" s="78">
        <f t="shared" si="9"/>
        <v>0</v>
      </c>
      <c r="R11" s="124">
        <f t="shared" si="2"/>
        <v>-100</v>
      </c>
      <c r="S11" s="124">
        <f t="shared" si="3"/>
        <v>18.774999999999999</v>
      </c>
      <c r="T11" s="124">
        <f t="shared" si="4"/>
        <v>-100</v>
      </c>
    </row>
    <row r="12" spans="1:20" ht="24" x14ac:dyDescent="0.25">
      <c r="A12" s="25">
        <v>7</v>
      </c>
      <c r="B12" s="74" t="s">
        <v>135</v>
      </c>
      <c r="C12" s="71">
        <v>0</v>
      </c>
      <c r="D12" s="71">
        <v>0</v>
      </c>
      <c r="E12" s="83">
        <f t="shared" si="5"/>
        <v>0</v>
      </c>
      <c r="F12" s="79">
        <v>2</v>
      </c>
      <c r="G12" s="78">
        <v>13</v>
      </c>
      <c r="H12" s="78">
        <f t="shared" ref="H12:H20" si="10">F12/F$5*100</f>
        <v>4.1666666666666661</v>
      </c>
      <c r="I12" s="79">
        <v>2</v>
      </c>
      <c r="J12" s="78">
        <v>13</v>
      </c>
      <c r="K12" s="78">
        <f t="shared" si="7"/>
        <v>3.5087719298245612</v>
      </c>
      <c r="L12" s="79">
        <v>2</v>
      </c>
      <c r="M12" s="78">
        <f t="shared" si="0"/>
        <v>23</v>
      </c>
      <c r="N12" s="78">
        <f t="shared" si="8"/>
        <v>9.0909090909090917</v>
      </c>
      <c r="O12" s="79">
        <v>3</v>
      </c>
      <c r="P12" s="78">
        <f t="shared" si="1"/>
        <v>35</v>
      </c>
      <c r="Q12" s="78">
        <f t="shared" si="9"/>
        <v>15.789473684210526</v>
      </c>
      <c r="R12" s="124">
        <f t="shared" si="2"/>
        <v>52.173913043478279</v>
      </c>
      <c r="S12" s="124">
        <f t="shared" si="3"/>
        <v>12.25</v>
      </c>
      <c r="T12" s="124" t="s">
        <v>279</v>
      </c>
    </row>
    <row r="13" spans="1:20" x14ac:dyDescent="0.25">
      <c r="A13" s="25">
        <v>8</v>
      </c>
      <c r="B13" s="74" t="s">
        <v>136</v>
      </c>
      <c r="C13" s="71">
        <v>2</v>
      </c>
      <c r="D13" s="71">
        <v>13.2</v>
      </c>
      <c r="E13" s="83">
        <f t="shared" si="5"/>
        <v>3.5087719298245612</v>
      </c>
      <c r="F13" s="79">
        <v>1</v>
      </c>
      <c r="G13" s="78">
        <v>6.5</v>
      </c>
      <c r="H13" s="78">
        <f t="shared" si="10"/>
        <v>2.083333333333333</v>
      </c>
      <c r="I13" s="79">
        <v>1</v>
      </c>
      <c r="J13" s="78">
        <v>6.5</v>
      </c>
      <c r="K13" s="78">
        <f t="shared" si="7"/>
        <v>1.7543859649122806</v>
      </c>
      <c r="L13" s="79">
        <v>0</v>
      </c>
      <c r="M13" s="78">
        <f t="shared" si="0"/>
        <v>0</v>
      </c>
      <c r="N13" s="78">
        <f t="shared" si="8"/>
        <v>0</v>
      </c>
      <c r="O13" s="79">
        <v>1</v>
      </c>
      <c r="P13" s="78">
        <f t="shared" si="1"/>
        <v>11.7</v>
      </c>
      <c r="Q13" s="78">
        <f t="shared" si="9"/>
        <v>5.2631578947368416</v>
      </c>
      <c r="R13" s="124">
        <v>100</v>
      </c>
      <c r="S13" s="124">
        <f t="shared" si="3"/>
        <v>6.55</v>
      </c>
      <c r="T13" s="124">
        <f t="shared" si="4"/>
        <v>78.625954198473266</v>
      </c>
    </row>
    <row r="14" spans="1:20" x14ac:dyDescent="0.25">
      <c r="A14" s="25">
        <v>9</v>
      </c>
      <c r="B14" s="74" t="s">
        <v>137</v>
      </c>
      <c r="C14" s="71">
        <v>0</v>
      </c>
      <c r="D14" s="71">
        <v>0</v>
      </c>
      <c r="E14" s="83">
        <f t="shared" si="5"/>
        <v>0</v>
      </c>
      <c r="F14" s="79">
        <v>6</v>
      </c>
      <c r="G14" s="78">
        <v>39</v>
      </c>
      <c r="H14" s="78">
        <f t="shared" si="10"/>
        <v>12.5</v>
      </c>
      <c r="I14" s="79">
        <v>5</v>
      </c>
      <c r="J14" s="78">
        <v>32.5</v>
      </c>
      <c r="K14" s="78">
        <f t="shared" si="7"/>
        <v>8.7719298245614024</v>
      </c>
      <c r="L14" s="79">
        <v>0</v>
      </c>
      <c r="M14" s="78">
        <f t="shared" si="0"/>
        <v>0</v>
      </c>
      <c r="N14" s="78">
        <f t="shared" si="8"/>
        <v>0</v>
      </c>
      <c r="O14" s="79">
        <v>1</v>
      </c>
      <c r="P14" s="78">
        <f t="shared" si="1"/>
        <v>11.7</v>
      </c>
      <c r="Q14" s="78">
        <f t="shared" si="9"/>
        <v>5.2631578947368416</v>
      </c>
      <c r="R14" s="124">
        <v>100</v>
      </c>
      <c r="S14" s="124">
        <f t="shared" si="3"/>
        <v>17.875</v>
      </c>
      <c r="T14" s="124">
        <f t="shared" si="4"/>
        <v>-34.545454545454547</v>
      </c>
    </row>
    <row r="15" spans="1:20" x14ac:dyDescent="0.25">
      <c r="A15" s="25">
        <v>10</v>
      </c>
      <c r="B15" s="74" t="s">
        <v>117</v>
      </c>
      <c r="C15" s="71">
        <v>1</v>
      </c>
      <c r="D15" s="71">
        <v>6.6</v>
      </c>
      <c r="E15" s="83">
        <f t="shared" si="5"/>
        <v>1.7543859649122806</v>
      </c>
      <c r="F15" s="79">
        <v>4</v>
      </c>
      <c r="G15" s="78">
        <v>26</v>
      </c>
      <c r="H15" s="78">
        <f t="shared" si="10"/>
        <v>8.3333333333333321</v>
      </c>
      <c r="I15" s="79">
        <v>3</v>
      </c>
      <c r="J15" s="78">
        <v>19.5</v>
      </c>
      <c r="K15" s="78">
        <f t="shared" si="7"/>
        <v>5.2631578947368416</v>
      </c>
      <c r="L15" s="79">
        <v>1</v>
      </c>
      <c r="M15" s="78">
        <f t="shared" si="0"/>
        <v>11.5</v>
      </c>
      <c r="N15" s="78">
        <f t="shared" si="8"/>
        <v>4.5454545454545459</v>
      </c>
      <c r="O15" s="79">
        <v>0</v>
      </c>
      <c r="P15" s="78">
        <f t="shared" si="1"/>
        <v>0</v>
      </c>
      <c r="Q15" s="78">
        <f t="shared" si="9"/>
        <v>0</v>
      </c>
      <c r="R15" s="124">
        <f t="shared" si="2"/>
        <v>-100</v>
      </c>
      <c r="S15" s="124">
        <f t="shared" si="3"/>
        <v>15.9</v>
      </c>
      <c r="T15" s="124">
        <f t="shared" si="4"/>
        <v>-100</v>
      </c>
    </row>
    <row r="16" spans="1:20" x14ac:dyDescent="0.25">
      <c r="A16" s="25">
        <v>11</v>
      </c>
      <c r="B16" s="74" t="s">
        <v>123</v>
      </c>
      <c r="C16" s="71">
        <v>1</v>
      </c>
      <c r="D16" s="71">
        <v>6.6</v>
      </c>
      <c r="E16" s="83">
        <f t="shared" si="5"/>
        <v>1.7543859649122806</v>
      </c>
      <c r="F16" s="79">
        <v>2</v>
      </c>
      <c r="G16" s="78">
        <v>13</v>
      </c>
      <c r="H16" s="78">
        <f t="shared" si="10"/>
        <v>4.1666666666666661</v>
      </c>
      <c r="I16" s="79">
        <v>2</v>
      </c>
      <c r="J16" s="78">
        <v>13</v>
      </c>
      <c r="K16" s="78">
        <f t="shared" si="7"/>
        <v>3.5087719298245612</v>
      </c>
      <c r="L16" s="79">
        <v>2</v>
      </c>
      <c r="M16" s="78">
        <f t="shared" si="0"/>
        <v>23</v>
      </c>
      <c r="N16" s="78">
        <f t="shared" si="8"/>
        <v>9.0909090909090917</v>
      </c>
      <c r="O16" s="79">
        <v>0</v>
      </c>
      <c r="P16" s="78">
        <f t="shared" si="1"/>
        <v>0</v>
      </c>
      <c r="Q16" s="78">
        <f t="shared" si="9"/>
        <v>0</v>
      </c>
      <c r="R16" s="124">
        <f t="shared" si="2"/>
        <v>-100</v>
      </c>
      <c r="S16" s="124">
        <f t="shared" si="3"/>
        <v>13.9</v>
      </c>
      <c r="T16" s="124">
        <f t="shared" si="4"/>
        <v>-100</v>
      </c>
    </row>
    <row r="17" spans="1:20" x14ac:dyDescent="0.25">
      <c r="A17" s="25">
        <v>15</v>
      </c>
      <c r="B17" s="74" t="s">
        <v>139</v>
      </c>
      <c r="C17" s="71">
        <v>3</v>
      </c>
      <c r="D17" s="71">
        <v>19.8</v>
      </c>
      <c r="E17" s="83">
        <f t="shared" si="5"/>
        <v>5.2631578947368416</v>
      </c>
      <c r="F17" s="79">
        <v>1</v>
      </c>
      <c r="G17" s="78">
        <v>6.5</v>
      </c>
      <c r="H17" s="78">
        <f t="shared" si="10"/>
        <v>2.083333333333333</v>
      </c>
      <c r="I17" s="79">
        <v>1</v>
      </c>
      <c r="J17" s="78">
        <v>6.5</v>
      </c>
      <c r="K17" s="78">
        <f t="shared" si="7"/>
        <v>1.7543859649122806</v>
      </c>
      <c r="L17" s="79">
        <v>0</v>
      </c>
      <c r="M17" s="78">
        <f t="shared" si="0"/>
        <v>0</v>
      </c>
      <c r="N17" s="78">
        <f t="shared" si="8"/>
        <v>0</v>
      </c>
      <c r="O17" s="79">
        <v>1</v>
      </c>
      <c r="P17" s="78">
        <f t="shared" si="1"/>
        <v>11.7</v>
      </c>
      <c r="Q17" s="78">
        <f t="shared" si="9"/>
        <v>5.2631578947368416</v>
      </c>
      <c r="R17" s="124">
        <v>100</v>
      </c>
      <c r="S17" s="124">
        <f t="shared" si="3"/>
        <v>8.1999999999999993</v>
      </c>
      <c r="T17" s="124">
        <f t="shared" si="4"/>
        <v>42.682926829268297</v>
      </c>
    </row>
    <row r="18" spans="1:20" x14ac:dyDescent="0.25">
      <c r="A18" s="25">
        <v>16</v>
      </c>
      <c r="B18" s="74" t="s">
        <v>118</v>
      </c>
      <c r="C18" s="71">
        <v>1</v>
      </c>
      <c r="D18" s="71">
        <v>6.6</v>
      </c>
      <c r="E18" s="83">
        <f t="shared" si="5"/>
        <v>1.7543859649122806</v>
      </c>
      <c r="F18" s="79">
        <v>1</v>
      </c>
      <c r="G18" s="78">
        <v>6.5</v>
      </c>
      <c r="H18" s="78">
        <f t="shared" si="10"/>
        <v>2.083333333333333</v>
      </c>
      <c r="I18" s="79">
        <v>2</v>
      </c>
      <c r="J18" s="78">
        <v>13</v>
      </c>
      <c r="K18" s="78">
        <f t="shared" si="7"/>
        <v>3.5087719298245612</v>
      </c>
      <c r="L18" s="79">
        <v>0</v>
      </c>
      <c r="M18" s="78">
        <f t="shared" si="0"/>
        <v>0</v>
      </c>
      <c r="N18" s="78">
        <f t="shared" si="8"/>
        <v>0</v>
      </c>
      <c r="O18" s="79">
        <v>0</v>
      </c>
      <c r="P18" s="78">
        <f t="shared" si="1"/>
        <v>0</v>
      </c>
      <c r="Q18" s="78">
        <f t="shared" si="9"/>
        <v>0</v>
      </c>
      <c r="R18" s="124">
        <v>0</v>
      </c>
      <c r="S18" s="124">
        <f t="shared" si="3"/>
        <v>6.5250000000000004</v>
      </c>
      <c r="T18" s="124">
        <f t="shared" si="4"/>
        <v>-100</v>
      </c>
    </row>
    <row r="19" spans="1:20" x14ac:dyDescent="0.25">
      <c r="A19" s="25">
        <v>20</v>
      </c>
      <c r="B19" s="74" t="s">
        <v>128</v>
      </c>
      <c r="C19" s="71">
        <v>0</v>
      </c>
      <c r="D19" s="71">
        <v>0</v>
      </c>
      <c r="E19" s="83">
        <f t="shared" si="5"/>
        <v>0</v>
      </c>
      <c r="F19" s="79">
        <v>0</v>
      </c>
      <c r="G19" s="78">
        <v>0</v>
      </c>
      <c r="H19" s="78">
        <f t="shared" si="10"/>
        <v>0</v>
      </c>
      <c r="I19" s="79">
        <v>0</v>
      </c>
      <c r="J19" s="78">
        <v>0</v>
      </c>
      <c r="K19" s="78">
        <f t="shared" si="7"/>
        <v>0</v>
      </c>
      <c r="L19" s="79">
        <v>0</v>
      </c>
      <c r="M19" s="78">
        <f t="shared" si="0"/>
        <v>0</v>
      </c>
      <c r="N19" s="78">
        <f t="shared" si="8"/>
        <v>0</v>
      </c>
      <c r="O19" s="79">
        <v>0</v>
      </c>
      <c r="P19" s="78">
        <f t="shared" si="1"/>
        <v>0</v>
      </c>
      <c r="Q19" s="78">
        <f t="shared" si="9"/>
        <v>0</v>
      </c>
      <c r="R19" s="124">
        <v>0</v>
      </c>
      <c r="S19" s="124">
        <f t="shared" si="3"/>
        <v>0</v>
      </c>
      <c r="T19" s="124">
        <v>0</v>
      </c>
    </row>
    <row r="20" spans="1:20" x14ac:dyDescent="0.25">
      <c r="A20" s="25">
        <v>21</v>
      </c>
      <c r="B20" s="74" t="s">
        <v>29</v>
      </c>
      <c r="C20" s="71">
        <v>6</v>
      </c>
      <c r="D20" s="71">
        <v>39.6</v>
      </c>
      <c r="E20" s="83">
        <f>C20/$I$5*100</f>
        <v>10.526315789473683</v>
      </c>
      <c r="F20" s="79">
        <v>11</v>
      </c>
      <c r="G20" s="78">
        <v>71.5</v>
      </c>
      <c r="H20" s="78">
        <f t="shared" si="10"/>
        <v>22.916666666666664</v>
      </c>
      <c r="I20" s="79">
        <v>14</v>
      </c>
      <c r="J20" s="78">
        <v>91</v>
      </c>
      <c r="K20" s="78">
        <f t="shared" si="7"/>
        <v>24.561403508771928</v>
      </c>
      <c r="L20" s="79">
        <v>3</v>
      </c>
      <c r="M20" s="78">
        <f t="shared" si="0"/>
        <v>34.5</v>
      </c>
      <c r="N20" s="78">
        <f t="shared" si="8"/>
        <v>13.636363636363635</v>
      </c>
      <c r="O20" s="79">
        <v>5</v>
      </c>
      <c r="P20" s="78">
        <f t="shared" si="1"/>
        <v>58.3</v>
      </c>
      <c r="Q20" s="78">
        <f t="shared" si="9"/>
        <v>26.315789473684209</v>
      </c>
      <c r="R20" s="124">
        <f t="shared" si="2"/>
        <v>68.985507246376812</v>
      </c>
      <c r="S20" s="124">
        <f t="shared" si="3"/>
        <v>59.15</v>
      </c>
      <c r="T20" s="124">
        <f t="shared" si="4"/>
        <v>-1.4370245139475912</v>
      </c>
    </row>
  </sheetData>
  <mergeCells count="10">
    <mergeCell ref="T3:T4"/>
    <mergeCell ref="I3:K3"/>
    <mergeCell ref="R3:R4"/>
    <mergeCell ref="S3:S4"/>
    <mergeCell ref="A3:A4"/>
    <mergeCell ref="B3:B4"/>
    <mergeCell ref="L3:N3"/>
    <mergeCell ref="O3:Q3"/>
    <mergeCell ref="C3:E3"/>
    <mergeCell ref="F3:H3"/>
  </mergeCells>
  <pageMargins left="0.98425196850393704" right="0.98425196850393704" top="0.98425196850393704" bottom="0.98425196850393704" header="0.51181102362204722" footer="0.51181102362204722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"/>
  <sheetViews>
    <sheetView view="pageBreakPreview" zoomScaleSheetLayoutView="100" workbookViewId="0">
      <selection activeCell="K9" sqref="K9"/>
    </sheetView>
  </sheetViews>
  <sheetFormatPr defaultRowHeight="15" x14ac:dyDescent="0.25"/>
  <cols>
    <col min="1" max="1" width="4.85546875" customWidth="1"/>
    <col min="2" max="2" width="15.140625" customWidth="1"/>
    <col min="13" max="13" width="10.5703125" customWidth="1"/>
  </cols>
  <sheetData>
    <row r="1" spans="1:13" x14ac:dyDescent="0.25">
      <c r="M1" s="10" t="s">
        <v>177</v>
      </c>
    </row>
    <row r="2" spans="1:13" x14ac:dyDescent="0.25">
      <c r="A2" s="3"/>
    </row>
    <row r="3" spans="1:13" x14ac:dyDescent="0.25">
      <c r="A3" s="16" t="s">
        <v>140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ht="30" customHeight="1" x14ac:dyDescent="0.25">
      <c r="A5" s="159" t="s">
        <v>0</v>
      </c>
      <c r="B5" s="159" t="s">
        <v>1</v>
      </c>
      <c r="C5" s="174">
        <v>2018</v>
      </c>
      <c r="D5" s="175"/>
      <c r="E5" s="174">
        <v>2019</v>
      </c>
      <c r="F5" s="175"/>
      <c r="G5" s="174">
        <v>2020</v>
      </c>
      <c r="H5" s="175"/>
      <c r="I5" s="174">
        <v>2021</v>
      </c>
      <c r="J5" s="175"/>
      <c r="K5" s="159">
        <v>2022</v>
      </c>
      <c r="L5" s="159"/>
      <c r="M5" s="159" t="s">
        <v>144</v>
      </c>
    </row>
    <row r="6" spans="1:13" x14ac:dyDescent="0.25">
      <c r="A6" s="159"/>
      <c r="B6" s="159"/>
      <c r="C6" s="96" t="s">
        <v>2</v>
      </c>
      <c r="D6" s="96" t="s">
        <v>130</v>
      </c>
      <c r="E6" s="96" t="s">
        <v>2</v>
      </c>
      <c r="F6" s="96" t="s">
        <v>130</v>
      </c>
      <c r="G6" s="96" t="s">
        <v>2</v>
      </c>
      <c r="H6" s="96" t="s">
        <v>130</v>
      </c>
      <c r="I6" s="96" t="s">
        <v>2</v>
      </c>
      <c r="J6" s="96" t="s">
        <v>130</v>
      </c>
      <c r="K6" s="25" t="s">
        <v>2</v>
      </c>
      <c r="L6" s="25" t="s">
        <v>130</v>
      </c>
      <c r="M6" s="159"/>
    </row>
    <row r="7" spans="1:13" x14ac:dyDescent="0.25">
      <c r="A7" s="25">
        <v>1</v>
      </c>
      <c r="B7" s="25" t="s">
        <v>141</v>
      </c>
      <c r="C7" s="79">
        <v>44</v>
      </c>
      <c r="D7" s="78">
        <f>C7*100/C10</f>
        <v>41.121495327102807</v>
      </c>
      <c r="E7" s="79">
        <v>52</v>
      </c>
      <c r="F7" s="124">
        <f t="shared" ref="F7" si="0">E7/E10*100</f>
        <v>45.614035087719294</v>
      </c>
      <c r="G7" s="79">
        <v>57</v>
      </c>
      <c r="H7" s="124">
        <f>G7/G10*100</f>
        <v>60.638297872340431</v>
      </c>
      <c r="I7" s="79">
        <v>27</v>
      </c>
      <c r="J7" s="124">
        <f>I7/I10*100</f>
        <v>54</v>
      </c>
      <c r="K7" s="79">
        <v>23</v>
      </c>
      <c r="L7" s="77">
        <f>K7/K10*100</f>
        <v>56.09756097560976</v>
      </c>
      <c r="M7" s="77">
        <f>K7/I7*100-100</f>
        <v>-14.81481481481481</v>
      </c>
    </row>
    <row r="8" spans="1:13" x14ac:dyDescent="0.25">
      <c r="A8" s="25">
        <v>2</v>
      </c>
      <c r="B8" s="25" t="s">
        <v>142</v>
      </c>
      <c r="C8" s="79">
        <v>24</v>
      </c>
      <c r="D8" s="78">
        <f>C8*100/C10</f>
        <v>22.429906542056074</v>
      </c>
      <c r="E8" s="79">
        <v>15</v>
      </c>
      <c r="F8" s="124">
        <f>E8/E10*100</f>
        <v>13.157894736842104</v>
      </c>
      <c r="G8" s="79">
        <v>14</v>
      </c>
      <c r="H8" s="124">
        <f>G8/G10*100</f>
        <v>14.893617021276595</v>
      </c>
      <c r="I8" s="79">
        <v>9</v>
      </c>
      <c r="J8" s="124">
        <f>I8/I10*100</f>
        <v>18</v>
      </c>
      <c r="K8" s="79">
        <v>11</v>
      </c>
      <c r="L8" s="77">
        <f>K8/K10*100</f>
        <v>26.829268292682929</v>
      </c>
      <c r="M8" s="77">
        <f t="shared" ref="M8:M10" si="1">K8/I8*100-100</f>
        <v>22.222222222222229</v>
      </c>
    </row>
    <row r="9" spans="1:13" x14ac:dyDescent="0.25">
      <c r="A9" s="25">
        <v>3</v>
      </c>
      <c r="B9" s="25" t="s">
        <v>143</v>
      </c>
      <c r="C9" s="79">
        <v>39</v>
      </c>
      <c r="D9" s="78">
        <f>C9*100/C10</f>
        <v>36.44859813084112</v>
      </c>
      <c r="E9" s="79">
        <v>47</v>
      </c>
      <c r="F9" s="124">
        <f>E9/E10*100</f>
        <v>41.228070175438596</v>
      </c>
      <c r="G9" s="79">
        <v>23</v>
      </c>
      <c r="H9" s="124">
        <f>G9/G10*100</f>
        <v>24.468085106382979</v>
      </c>
      <c r="I9" s="79">
        <v>14</v>
      </c>
      <c r="J9" s="124">
        <f>I9/I10*100</f>
        <v>28.000000000000004</v>
      </c>
      <c r="K9" s="79">
        <v>7</v>
      </c>
      <c r="L9" s="77">
        <f>K9/K10*100</f>
        <v>17.073170731707318</v>
      </c>
      <c r="M9" s="77">
        <f t="shared" si="1"/>
        <v>-50</v>
      </c>
    </row>
    <row r="10" spans="1:13" x14ac:dyDescent="0.25">
      <c r="A10" s="25">
        <v>4</v>
      </c>
      <c r="B10" s="25" t="s">
        <v>58</v>
      </c>
      <c r="C10" s="79">
        <v>107</v>
      </c>
      <c r="D10" s="79">
        <v>100</v>
      </c>
      <c r="E10" s="79">
        <v>114</v>
      </c>
      <c r="F10" s="79">
        <v>100</v>
      </c>
      <c r="G10" s="79">
        <v>94</v>
      </c>
      <c r="H10" s="79">
        <v>100</v>
      </c>
      <c r="I10" s="79">
        <v>50</v>
      </c>
      <c r="J10" s="79">
        <v>100</v>
      </c>
      <c r="K10" s="79">
        <v>41</v>
      </c>
      <c r="L10" s="79">
        <v>100</v>
      </c>
      <c r="M10" s="77">
        <f t="shared" si="1"/>
        <v>-18</v>
      </c>
    </row>
    <row r="11" spans="1:13" x14ac:dyDescent="0.25">
      <c r="A11" s="2"/>
    </row>
    <row r="12" spans="1:13" ht="20.25" x14ac:dyDescent="0.3">
      <c r="A12" s="14"/>
    </row>
  </sheetData>
  <mergeCells count="8">
    <mergeCell ref="M5:M6"/>
    <mergeCell ref="K5:L5"/>
    <mergeCell ref="A5:A6"/>
    <mergeCell ref="B5:B6"/>
    <mergeCell ref="I5:J5"/>
    <mergeCell ref="C5:D5"/>
    <mergeCell ref="E5:F5"/>
    <mergeCell ref="G5:H5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2"/>
  <sheetViews>
    <sheetView view="pageBreakPreview" zoomScale="150" zoomScaleNormal="90" zoomScaleSheetLayoutView="150" workbookViewId="0">
      <selection activeCell="N12" sqref="N12"/>
    </sheetView>
  </sheetViews>
  <sheetFormatPr defaultRowHeight="15" x14ac:dyDescent="0.25"/>
  <cols>
    <col min="1" max="1" width="3.85546875" customWidth="1"/>
    <col min="2" max="2" width="17.42578125" customWidth="1"/>
    <col min="3" max="4" width="7.85546875" hidden="1" customWidth="1"/>
    <col min="5" max="9" width="7.85546875" customWidth="1"/>
    <col min="10" max="10" width="9.7109375" customWidth="1"/>
    <col min="11" max="15" width="7.85546875" customWidth="1"/>
  </cols>
  <sheetData>
    <row r="1" spans="1:15" x14ac:dyDescent="0.25">
      <c r="O1" s="10" t="s">
        <v>157</v>
      </c>
    </row>
    <row r="2" spans="1:15" x14ac:dyDescent="0.25">
      <c r="A2" s="16" t="s">
        <v>253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2"/>
    </row>
    <row r="4" spans="1:15" ht="15" customHeight="1" x14ac:dyDescent="0.25">
      <c r="A4" s="159" t="s">
        <v>0</v>
      </c>
      <c r="B4" s="159" t="s">
        <v>1</v>
      </c>
      <c r="C4" s="160" t="s">
        <v>183</v>
      </c>
      <c r="D4" s="161"/>
      <c r="E4" s="160" t="s">
        <v>184</v>
      </c>
      <c r="F4" s="161"/>
      <c r="G4" s="160" t="s">
        <v>245</v>
      </c>
      <c r="H4" s="161"/>
      <c r="I4" s="160" t="s">
        <v>247</v>
      </c>
      <c r="J4" s="161"/>
      <c r="K4" s="159" t="s">
        <v>258</v>
      </c>
      <c r="L4" s="159"/>
      <c r="M4" s="159" t="s">
        <v>144</v>
      </c>
      <c r="N4" s="159" t="s">
        <v>109</v>
      </c>
      <c r="O4" s="159" t="s">
        <v>145</v>
      </c>
    </row>
    <row r="5" spans="1:15" ht="30.75" customHeight="1" x14ac:dyDescent="0.25">
      <c r="A5" s="159"/>
      <c r="B5" s="159"/>
      <c r="C5" s="162"/>
      <c r="D5" s="163"/>
      <c r="E5" s="162"/>
      <c r="F5" s="163"/>
      <c r="G5" s="162"/>
      <c r="H5" s="163"/>
      <c r="I5" s="162"/>
      <c r="J5" s="163"/>
      <c r="K5" s="159"/>
      <c r="L5" s="159"/>
      <c r="M5" s="159"/>
      <c r="N5" s="159"/>
      <c r="O5" s="159"/>
    </row>
    <row r="6" spans="1:15" ht="30" customHeight="1" x14ac:dyDescent="0.25">
      <c r="A6" s="159"/>
      <c r="B6" s="159"/>
      <c r="C6" s="84" t="s">
        <v>2</v>
      </c>
      <c r="D6" s="84" t="s">
        <v>3</v>
      </c>
      <c r="E6" s="84" t="s">
        <v>2</v>
      </c>
      <c r="F6" s="84" t="s">
        <v>3</v>
      </c>
      <c r="G6" s="84" t="s">
        <v>2</v>
      </c>
      <c r="H6" s="84" t="s">
        <v>3</v>
      </c>
      <c r="I6" s="84" t="s">
        <v>2</v>
      </c>
      <c r="J6" s="84" t="s">
        <v>3</v>
      </c>
      <c r="K6" s="84" t="s">
        <v>2</v>
      </c>
      <c r="L6" s="84" t="s">
        <v>3</v>
      </c>
      <c r="M6" s="159"/>
      <c r="N6" s="159"/>
      <c r="O6" s="159"/>
    </row>
    <row r="7" spans="1:15" ht="15" customHeight="1" x14ac:dyDescent="0.25">
      <c r="A7" s="13">
        <v>1</v>
      </c>
      <c r="B7" s="13" t="s">
        <v>4</v>
      </c>
      <c r="C7" s="127"/>
      <c r="D7" s="127"/>
      <c r="E7" s="127">
        <v>138</v>
      </c>
      <c r="F7" s="127">
        <v>15.7</v>
      </c>
      <c r="G7" s="128">
        <v>176</v>
      </c>
      <c r="H7" s="128">
        <v>20.100000000000001</v>
      </c>
      <c r="I7" s="128">
        <v>193</v>
      </c>
      <c r="J7" s="128">
        <v>22.2</v>
      </c>
      <c r="K7" s="128">
        <v>145</v>
      </c>
      <c r="L7" s="128">
        <v>16.899999999999999</v>
      </c>
      <c r="M7" s="18">
        <f>L7/J7*100-100</f>
        <v>-23.873873873873876</v>
      </c>
      <c r="N7" s="18">
        <f t="shared" ref="N7" si="0">ROUND((SUM(D7,F7,H7,J7,L7)/4),1)</f>
        <v>18.7</v>
      </c>
      <c r="O7" s="18">
        <f>L7/N7*100-100</f>
        <v>-9.6256684491978604</v>
      </c>
    </row>
    <row r="8" spans="1:15" ht="15.75" customHeight="1" x14ac:dyDescent="0.25">
      <c r="A8" s="13">
        <v>2</v>
      </c>
      <c r="B8" s="13" t="s">
        <v>5</v>
      </c>
      <c r="C8" s="127"/>
      <c r="D8" s="127"/>
      <c r="E8" s="127"/>
      <c r="F8" s="127"/>
      <c r="G8" s="128"/>
      <c r="H8" s="128"/>
      <c r="I8" s="128">
        <v>53</v>
      </c>
      <c r="J8" s="128">
        <f>ROUND((I8/8696*1000),1)</f>
        <v>6.1</v>
      </c>
      <c r="K8" s="128">
        <v>49</v>
      </c>
      <c r="L8" s="128">
        <f>ROUND((K8/8571*1000),1)</f>
        <v>5.7</v>
      </c>
      <c r="M8" s="18">
        <f t="shared" ref="M8:M9" si="1">L8/J8*100-100</f>
        <v>-6.5573770491803174</v>
      </c>
      <c r="N8" s="18">
        <f>ROUND((SUM(D8,F8,H8,J8,L8)/2),1)</f>
        <v>5.9</v>
      </c>
      <c r="O8" s="18">
        <f t="shared" ref="O8:O12" si="2">L8/N8*100-100</f>
        <v>-3.3898305084745743</v>
      </c>
    </row>
    <row r="9" spans="1:15" ht="45" x14ac:dyDescent="0.25">
      <c r="A9" s="13">
        <v>3</v>
      </c>
      <c r="B9" s="13" t="s">
        <v>6</v>
      </c>
      <c r="C9" s="127"/>
      <c r="D9" s="127"/>
      <c r="E9" s="127">
        <v>35</v>
      </c>
      <c r="F9" s="127">
        <v>0.8</v>
      </c>
      <c r="G9" s="128">
        <v>38</v>
      </c>
      <c r="H9" s="128">
        <v>0.9</v>
      </c>
      <c r="I9" s="128">
        <v>42</v>
      </c>
      <c r="J9" s="128">
        <v>0.9</v>
      </c>
      <c r="K9" s="128">
        <v>34</v>
      </c>
      <c r="L9" s="128">
        <v>0.8</v>
      </c>
      <c r="M9" s="18">
        <f t="shared" si="1"/>
        <v>-11.1111111111111</v>
      </c>
      <c r="N9" s="18">
        <f>ROUND((SUM(D9,F9,H9,J9,L9)/4),1)</f>
        <v>0.9</v>
      </c>
      <c r="O9" s="18">
        <f t="shared" si="2"/>
        <v>-11.1111111111111</v>
      </c>
    </row>
    <row r="10" spans="1:15" ht="30" x14ac:dyDescent="0.25">
      <c r="A10" s="13">
        <v>4</v>
      </c>
      <c r="B10" s="13" t="s">
        <v>7</v>
      </c>
      <c r="C10" s="47"/>
      <c r="D10" s="47"/>
      <c r="E10" s="47">
        <v>0</v>
      </c>
      <c r="F10" s="47"/>
      <c r="G10" s="48">
        <v>0</v>
      </c>
      <c r="H10" s="48"/>
      <c r="I10" s="48">
        <v>0</v>
      </c>
      <c r="J10" s="48"/>
      <c r="K10" s="48">
        <v>0</v>
      </c>
      <c r="L10" s="48"/>
      <c r="M10" s="18">
        <v>0</v>
      </c>
      <c r="N10" s="18">
        <f t="shared" ref="N10:N11" si="3">SUM(D10,F10,H10,J10,L10)/5</f>
        <v>0</v>
      </c>
      <c r="O10" s="18">
        <v>0</v>
      </c>
    </row>
    <row r="11" spans="1:15" ht="30" x14ac:dyDescent="0.25">
      <c r="A11" s="13">
        <v>5</v>
      </c>
      <c r="B11" s="13" t="s">
        <v>8</v>
      </c>
      <c r="C11" s="47"/>
      <c r="D11" s="47"/>
      <c r="E11" s="47">
        <v>0</v>
      </c>
      <c r="F11" s="47"/>
      <c r="G11" s="135">
        <v>0</v>
      </c>
      <c r="H11" s="48"/>
      <c r="I11" s="135">
        <v>0</v>
      </c>
      <c r="J11" s="48"/>
      <c r="K11" s="135">
        <v>0</v>
      </c>
      <c r="L11" s="48"/>
      <c r="M11" s="18">
        <v>0</v>
      </c>
      <c r="N11" s="18">
        <f t="shared" si="3"/>
        <v>0</v>
      </c>
      <c r="O11" s="18">
        <v>0</v>
      </c>
    </row>
    <row r="12" spans="1:15" ht="30" x14ac:dyDescent="0.25">
      <c r="A12" s="13">
        <v>7</v>
      </c>
      <c r="B12" s="13" t="s">
        <v>9</v>
      </c>
      <c r="C12" s="47"/>
      <c r="D12" s="53"/>
      <c r="E12" s="47"/>
      <c r="F12" s="53"/>
      <c r="G12" s="47"/>
      <c r="H12" s="120"/>
      <c r="I12" s="47">
        <f>I8-I7</f>
        <v>-140</v>
      </c>
      <c r="J12" s="120">
        <f>J8-J7</f>
        <v>-16.100000000000001</v>
      </c>
      <c r="K12" s="47">
        <f>K8-K7</f>
        <v>-96</v>
      </c>
      <c r="L12" s="120">
        <f>L8-L7</f>
        <v>-11.2</v>
      </c>
      <c r="M12" s="46">
        <f>L12/J12*100-100</f>
        <v>-30.43478260869567</v>
      </c>
      <c r="N12" s="18">
        <f>ROUND((SUM(D12,F12,H12,J12,L12)/2),1)</f>
        <v>-13.7</v>
      </c>
      <c r="O12" s="18">
        <f t="shared" si="2"/>
        <v>-18.248175182481745</v>
      </c>
    </row>
  </sheetData>
  <mergeCells count="10">
    <mergeCell ref="M4:M6"/>
    <mergeCell ref="N4:N6"/>
    <mergeCell ref="O4:O6"/>
    <mergeCell ref="K4:L5"/>
    <mergeCell ref="A4:A6"/>
    <mergeCell ref="B4:B6"/>
    <mergeCell ref="I4:J5"/>
    <mergeCell ref="G4:H5"/>
    <mergeCell ref="E4:F5"/>
    <mergeCell ref="C4:D5"/>
  </mergeCells>
  <pageMargins left="0.98425196850393704" right="0.98425196850393704" top="0.98425196850393704" bottom="0.98425196850393704" header="0.51181102362204722" footer="0.51181102362204722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3"/>
  <sheetViews>
    <sheetView view="pageBreakPreview" zoomScaleNormal="80" zoomScaleSheetLayoutView="100" workbookViewId="0">
      <selection activeCell="T11" sqref="T11"/>
    </sheetView>
  </sheetViews>
  <sheetFormatPr defaultRowHeight="15" x14ac:dyDescent="0.25"/>
  <cols>
    <col min="1" max="1" width="4.28515625" customWidth="1"/>
    <col min="2" max="2" width="24.42578125" customWidth="1"/>
    <col min="3" max="3" width="6" customWidth="1"/>
    <col min="4" max="4" width="5.5703125" customWidth="1"/>
    <col min="5" max="5" width="7.28515625" customWidth="1"/>
    <col min="6" max="6" width="6.42578125" customWidth="1"/>
    <col min="7" max="7" width="5.28515625" customWidth="1"/>
    <col min="8" max="8" width="7.28515625" customWidth="1"/>
    <col min="9" max="9" width="6.42578125" customWidth="1"/>
    <col min="10" max="10" width="6" customWidth="1"/>
    <col min="11" max="11" width="7.28515625" bestFit="1" customWidth="1"/>
    <col min="12" max="12" width="6.140625" customWidth="1"/>
    <col min="13" max="13" width="6" customWidth="1"/>
    <col min="14" max="14" width="7.28515625" bestFit="1" customWidth="1"/>
    <col min="15" max="17" width="7.28515625" customWidth="1"/>
    <col min="18" max="18" width="11" customWidth="1"/>
    <col min="19" max="19" width="6.140625" customWidth="1"/>
    <col min="20" max="20" width="6.85546875" customWidth="1"/>
  </cols>
  <sheetData>
    <row r="1" spans="1:26" ht="15.75" x14ac:dyDescent="0.25">
      <c r="T1" s="26" t="s">
        <v>172</v>
      </c>
    </row>
    <row r="2" spans="1:26" x14ac:dyDescent="0.25">
      <c r="A2" s="7"/>
    </row>
    <row r="3" spans="1:26" x14ac:dyDescent="0.25">
      <c r="A3" s="16" t="s">
        <v>97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6" x14ac:dyDescent="0.25">
      <c r="A4" s="2"/>
    </row>
    <row r="5" spans="1:26" ht="62.25" customHeight="1" x14ac:dyDescent="0.25">
      <c r="A5" s="159" t="s">
        <v>0</v>
      </c>
      <c r="B5" s="159" t="s">
        <v>1</v>
      </c>
      <c r="C5" s="174">
        <v>2018</v>
      </c>
      <c r="D5" s="178"/>
      <c r="E5" s="175"/>
      <c r="F5" s="174">
        <v>2019</v>
      </c>
      <c r="G5" s="178"/>
      <c r="H5" s="175"/>
      <c r="I5" s="174">
        <v>2020</v>
      </c>
      <c r="J5" s="178"/>
      <c r="K5" s="175"/>
      <c r="L5" s="174">
        <v>2021</v>
      </c>
      <c r="M5" s="178"/>
      <c r="N5" s="175"/>
      <c r="O5" s="174">
        <v>2022</v>
      </c>
      <c r="P5" s="178"/>
      <c r="Q5" s="175"/>
      <c r="R5" s="159" t="s">
        <v>144</v>
      </c>
      <c r="S5" s="159" t="s">
        <v>109</v>
      </c>
      <c r="T5" s="159" t="s">
        <v>145</v>
      </c>
    </row>
    <row r="6" spans="1:26" ht="15.75" thickBot="1" x14ac:dyDescent="0.3">
      <c r="A6" s="159"/>
      <c r="B6" s="159"/>
      <c r="C6" s="96" t="s">
        <v>2</v>
      </c>
      <c r="D6" s="96" t="s">
        <v>3</v>
      </c>
      <c r="E6" s="96" t="s">
        <v>98</v>
      </c>
      <c r="F6" s="96" t="s">
        <v>2</v>
      </c>
      <c r="G6" s="96" t="s">
        <v>3</v>
      </c>
      <c r="H6" s="96" t="s">
        <v>98</v>
      </c>
      <c r="I6" s="96" t="s">
        <v>2</v>
      </c>
      <c r="J6" s="96" t="s">
        <v>3</v>
      </c>
      <c r="K6" s="96" t="s">
        <v>98</v>
      </c>
      <c r="L6" s="96" t="s">
        <v>2</v>
      </c>
      <c r="M6" s="96" t="s">
        <v>3</v>
      </c>
      <c r="N6" s="96" t="s">
        <v>98</v>
      </c>
      <c r="O6" s="54" t="s">
        <v>2</v>
      </c>
      <c r="P6" s="54" t="s">
        <v>3</v>
      </c>
      <c r="Q6" s="54" t="s">
        <v>98</v>
      </c>
      <c r="R6" s="159"/>
      <c r="S6" s="159"/>
      <c r="T6" s="159"/>
      <c r="U6">
        <v>2021</v>
      </c>
      <c r="X6">
        <v>2022</v>
      </c>
    </row>
    <row r="7" spans="1:26" ht="15.75" thickBot="1" x14ac:dyDescent="0.3">
      <c r="A7" s="25"/>
      <c r="B7" s="25" t="s">
        <v>35</v>
      </c>
      <c r="C7" s="58">
        <v>2835</v>
      </c>
      <c r="D7" s="58">
        <v>96.8</v>
      </c>
      <c r="E7" s="58">
        <v>100</v>
      </c>
      <c r="F7" s="51">
        <v>2872</v>
      </c>
      <c r="G7" s="46">
        <v>98.9</v>
      </c>
      <c r="H7" s="46">
        <v>100</v>
      </c>
      <c r="I7" s="51">
        <v>2877</v>
      </c>
      <c r="J7" s="46">
        <v>100</v>
      </c>
      <c r="K7" s="46">
        <v>100</v>
      </c>
      <c r="L7" s="51">
        <f>W7</f>
        <v>647</v>
      </c>
      <c r="M7" s="46">
        <f>ROUND((L7*1000/8696),1)</f>
        <v>74.400000000000006</v>
      </c>
      <c r="N7" s="46">
        <v>100</v>
      </c>
      <c r="O7" s="51">
        <f>Z7</f>
        <v>528</v>
      </c>
      <c r="P7" s="46">
        <f>ROUND((O7*1000/8571),1)</f>
        <v>61.6</v>
      </c>
      <c r="Q7" s="46">
        <v>100</v>
      </c>
      <c r="R7" s="18">
        <f>P7/M7*100-100</f>
        <v>-17.20430107526883</v>
      </c>
      <c r="S7" s="18">
        <f>SUM(D7,G7,J7,M7,P7)/5</f>
        <v>86.34</v>
      </c>
      <c r="T7" s="18">
        <f>P7/S7*100-100</f>
        <v>-28.654157980078764</v>
      </c>
      <c r="U7">
        <v>506</v>
      </c>
      <c r="V7">
        <v>141</v>
      </c>
      <c r="W7">
        <f>U7+V7</f>
        <v>647</v>
      </c>
      <c r="X7">
        <v>377</v>
      </c>
      <c r="Y7">
        <v>151</v>
      </c>
      <c r="Z7">
        <f>X7+Y7</f>
        <v>528</v>
      </c>
    </row>
    <row r="8" spans="1:26" ht="30.75" thickBot="1" x14ac:dyDescent="0.3">
      <c r="A8" s="25">
        <v>1</v>
      </c>
      <c r="B8" s="25" t="s">
        <v>99</v>
      </c>
      <c r="C8" s="58">
        <v>295</v>
      </c>
      <c r="D8" s="58">
        <v>10.1</v>
      </c>
      <c r="E8" s="58">
        <v>10.4</v>
      </c>
      <c r="F8" s="51">
        <v>300</v>
      </c>
      <c r="G8" s="46">
        <v>10.3</v>
      </c>
      <c r="H8" s="46">
        <f t="shared" ref="H8:H12" si="0">F8/F$7*100</f>
        <v>10.445682451253482</v>
      </c>
      <c r="I8" s="51">
        <v>293</v>
      </c>
      <c r="J8" s="46">
        <v>10.199999999999999</v>
      </c>
      <c r="K8" s="46">
        <f>I8/I7*100</f>
        <v>10.184219673270768</v>
      </c>
      <c r="L8" s="51">
        <f t="shared" ref="L8:L12" si="1">W8</f>
        <v>72</v>
      </c>
      <c r="M8" s="46">
        <f t="shared" ref="M8:M12" si="2">ROUND((L8*1000/8696),1)</f>
        <v>8.3000000000000007</v>
      </c>
      <c r="N8" s="46">
        <f>L8/L7*100</f>
        <v>11.128284389489954</v>
      </c>
      <c r="O8" s="51">
        <f t="shared" ref="O8:O12" si="3">Z8</f>
        <v>45</v>
      </c>
      <c r="P8" s="46">
        <f t="shared" ref="P8:P12" si="4">ROUND((O8*1000/8571),1)</f>
        <v>5.3</v>
      </c>
      <c r="Q8" s="46">
        <f>O8/O7*100</f>
        <v>8.5227272727272716</v>
      </c>
      <c r="R8" s="18">
        <f t="shared" ref="R8:R12" si="5">P8/M8*100-100</f>
        <v>-36.144578313253021</v>
      </c>
      <c r="S8" s="18">
        <f t="shared" ref="S8:S12" si="6">SUM(D8,G8,J8,M8,P8)/5</f>
        <v>8.84</v>
      </c>
      <c r="T8" s="18">
        <f t="shared" ref="T8:T12" si="7">P8/S8*100-100</f>
        <v>-40.04524886877828</v>
      </c>
      <c r="U8">
        <v>60</v>
      </c>
      <c r="V8">
        <v>12</v>
      </c>
      <c r="W8">
        <f t="shared" ref="W8:W12" si="8">U8+V8</f>
        <v>72</v>
      </c>
      <c r="X8">
        <v>31</v>
      </c>
      <c r="Y8">
        <v>14</v>
      </c>
      <c r="Z8">
        <f t="shared" ref="Z8:Z12" si="9">X8+Y8</f>
        <v>45</v>
      </c>
    </row>
    <row r="9" spans="1:26" ht="30.75" thickBot="1" x14ac:dyDescent="0.3">
      <c r="A9" s="25">
        <v>2</v>
      </c>
      <c r="B9" s="25" t="s">
        <v>100</v>
      </c>
      <c r="C9" s="58">
        <v>145</v>
      </c>
      <c r="D9" s="58">
        <v>5</v>
      </c>
      <c r="E9" s="58">
        <v>5.0999999999999996</v>
      </c>
      <c r="F9" s="51">
        <v>156</v>
      </c>
      <c r="G9" s="46">
        <v>5.4</v>
      </c>
      <c r="H9" s="46">
        <f t="shared" si="0"/>
        <v>5.4317548746518103</v>
      </c>
      <c r="I9" s="51">
        <v>151</v>
      </c>
      <c r="J9" s="46">
        <v>5.2</v>
      </c>
      <c r="K9" s="46">
        <f>I9/I7*100</f>
        <v>5.2485227667709422</v>
      </c>
      <c r="L9" s="51">
        <f t="shared" si="1"/>
        <v>68</v>
      </c>
      <c r="M9" s="46">
        <f t="shared" si="2"/>
        <v>7.8</v>
      </c>
      <c r="N9" s="46">
        <f>L9/L7*100</f>
        <v>10.510046367851624</v>
      </c>
      <c r="O9" s="51">
        <f t="shared" si="3"/>
        <v>37</v>
      </c>
      <c r="P9" s="46">
        <f t="shared" si="4"/>
        <v>4.3</v>
      </c>
      <c r="Q9" s="46">
        <f>O9/O7*100</f>
        <v>7.0075757575757569</v>
      </c>
      <c r="R9" s="18">
        <f t="shared" si="5"/>
        <v>-44.871794871794869</v>
      </c>
      <c r="S9" s="18">
        <f t="shared" si="6"/>
        <v>5.5400000000000009</v>
      </c>
      <c r="T9" s="18">
        <f t="shared" si="7"/>
        <v>-22.382671480144424</v>
      </c>
      <c r="U9">
        <v>65</v>
      </c>
      <c r="V9">
        <v>3</v>
      </c>
      <c r="W9">
        <f t="shared" si="8"/>
        <v>68</v>
      </c>
      <c r="X9">
        <v>30</v>
      </c>
      <c r="Y9">
        <v>7</v>
      </c>
      <c r="Z9">
        <f t="shared" si="9"/>
        <v>37</v>
      </c>
    </row>
    <row r="10" spans="1:26" ht="15.75" thickBot="1" x14ac:dyDescent="0.3">
      <c r="A10" s="25">
        <v>3</v>
      </c>
      <c r="B10" s="25" t="s">
        <v>101</v>
      </c>
      <c r="C10" s="58">
        <v>19</v>
      </c>
      <c r="D10" s="58">
        <v>0.6</v>
      </c>
      <c r="E10" s="58">
        <v>0.7</v>
      </c>
      <c r="F10" s="51">
        <v>21</v>
      </c>
      <c r="G10" s="46">
        <v>0.7</v>
      </c>
      <c r="H10" s="46">
        <f t="shared" si="0"/>
        <v>0.73119777158774368</v>
      </c>
      <c r="I10" s="51">
        <v>19</v>
      </c>
      <c r="J10" s="46">
        <v>0.7</v>
      </c>
      <c r="K10" s="46">
        <f>I10/I7*100</f>
        <v>0.66041014946124432</v>
      </c>
      <c r="L10" s="51">
        <f t="shared" si="1"/>
        <v>20</v>
      </c>
      <c r="M10" s="46">
        <f t="shared" si="2"/>
        <v>2.2999999999999998</v>
      </c>
      <c r="N10" s="46">
        <f>L10/L7*100</f>
        <v>3.091190108191654</v>
      </c>
      <c r="O10" s="51">
        <f t="shared" si="3"/>
        <v>15</v>
      </c>
      <c r="P10" s="46">
        <f t="shared" si="4"/>
        <v>1.8</v>
      </c>
      <c r="Q10" s="46">
        <f>O10/O7*100</f>
        <v>2.8409090909090908</v>
      </c>
      <c r="R10" s="18">
        <f t="shared" si="5"/>
        <v>-21.739130434782609</v>
      </c>
      <c r="S10" s="18">
        <f t="shared" si="6"/>
        <v>1.22</v>
      </c>
      <c r="T10" s="18">
        <f t="shared" si="7"/>
        <v>47.540983606557376</v>
      </c>
      <c r="U10">
        <v>13</v>
      </c>
      <c r="V10">
        <v>7</v>
      </c>
      <c r="W10">
        <f t="shared" si="8"/>
        <v>20</v>
      </c>
      <c r="X10">
        <v>10</v>
      </c>
      <c r="Y10">
        <v>5</v>
      </c>
      <c r="Z10">
        <f t="shared" si="9"/>
        <v>15</v>
      </c>
    </row>
    <row r="11" spans="1:26" ht="30.75" thickBot="1" x14ac:dyDescent="0.3">
      <c r="A11" s="25">
        <v>4</v>
      </c>
      <c r="B11" s="25" t="s">
        <v>102</v>
      </c>
      <c r="C11" s="58">
        <v>62</v>
      </c>
      <c r="D11" s="58">
        <v>2.1</v>
      </c>
      <c r="E11" s="58">
        <v>2.2000000000000002</v>
      </c>
      <c r="F11" s="51">
        <v>73</v>
      </c>
      <c r="G11" s="46">
        <v>2.5</v>
      </c>
      <c r="H11" s="46">
        <f t="shared" si="0"/>
        <v>2.5417827298050142</v>
      </c>
      <c r="I11" s="51">
        <v>71</v>
      </c>
      <c r="J11" s="46">
        <v>2.5</v>
      </c>
      <c r="K11" s="46">
        <f>I11/I7*100</f>
        <v>2.4678484532499132</v>
      </c>
      <c r="L11" s="51">
        <f t="shared" si="1"/>
        <v>18</v>
      </c>
      <c r="M11" s="46">
        <f t="shared" si="2"/>
        <v>2.1</v>
      </c>
      <c r="N11" s="46">
        <f>L11/L7*100</f>
        <v>2.7820710973724885</v>
      </c>
      <c r="O11" s="51">
        <f t="shared" si="3"/>
        <v>12</v>
      </c>
      <c r="P11" s="46">
        <f t="shared" si="4"/>
        <v>1.4</v>
      </c>
      <c r="Q11" s="46">
        <f>O11/O7*100</f>
        <v>2.2727272727272729</v>
      </c>
      <c r="R11" s="18">
        <f t="shared" si="5"/>
        <v>-33.333333333333343</v>
      </c>
      <c r="S11" s="18">
        <f t="shared" si="6"/>
        <v>2.12</v>
      </c>
      <c r="T11" s="18">
        <f t="shared" si="7"/>
        <v>-33.962264150943398</v>
      </c>
      <c r="U11">
        <v>14</v>
      </c>
      <c r="V11">
        <v>4</v>
      </c>
      <c r="W11">
        <f t="shared" si="8"/>
        <v>18</v>
      </c>
      <c r="X11">
        <v>10</v>
      </c>
      <c r="Y11">
        <v>2</v>
      </c>
      <c r="Z11">
        <f t="shared" si="9"/>
        <v>12</v>
      </c>
    </row>
    <row r="12" spans="1:26" ht="30.75" thickBot="1" x14ac:dyDescent="0.3">
      <c r="A12" s="25">
        <v>5</v>
      </c>
      <c r="B12" s="25" t="s">
        <v>103</v>
      </c>
      <c r="C12" s="58">
        <v>21</v>
      </c>
      <c r="D12" s="58">
        <v>0.7</v>
      </c>
      <c r="E12" s="58">
        <v>0.7</v>
      </c>
      <c r="F12" s="51">
        <v>27</v>
      </c>
      <c r="G12" s="46">
        <v>0.9</v>
      </c>
      <c r="H12" s="46">
        <f t="shared" si="0"/>
        <v>0.94011142061281339</v>
      </c>
      <c r="I12" s="51">
        <v>25</v>
      </c>
      <c r="J12" s="46">
        <v>0.9</v>
      </c>
      <c r="K12" s="46">
        <f>I12/I7*100</f>
        <v>0.86896072297532145</v>
      </c>
      <c r="L12" s="51">
        <f t="shared" si="1"/>
        <v>12</v>
      </c>
      <c r="M12" s="46">
        <f t="shared" si="2"/>
        <v>1.4</v>
      </c>
      <c r="N12" s="46">
        <f>L12/L7*100</f>
        <v>1.8547140649149922</v>
      </c>
      <c r="O12" s="51">
        <f t="shared" si="3"/>
        <v>13</v>
      </c>
      <c r="P12" s="46">
        <f t="shared" si="4"/>
        <v>1.5</v>
      </c>
      <c r="Q12" s="46">
        <f>O12/O7*100</f>
        <v>2.4621212121212119</v>
      </c>
      <c r="R12" s="18">
        <f t="shared" si="5"/>
        <v>7.1428571428571388</v>
      </c>
      <c r="S12" s="18">
        <f t="shared" si="6"/>
        <v>1.08</v>
      </c>
      <c r="T12" s="18">
        <f t="shared" si="7"/>
        <v>38.888888888888886</v>
      </c>
      <c r="U12">
        <v>12</v>
      </c>
      <c r="V12">
        <v>0</v>
      </c>
      <c r="W12">
        <f t="shared" si="8"/>
        <v>12</v>
      </c>
      <c r="X12">
        <v>13</v>
      </c>
      <c r="Y12">
        <v>0</v>
      </c>
      <c r="Z12">
        <f t="shared" si="9"/>
        <v>13</v>
      </c>
    </row>
    <row r="13" spans="1:26" x14ac:dyDescent="0.25">
      <c r="A13" s="2"/>
    </row>
  </sheetData>
  <mergeCells count="10">
    <mergeCell ref="R5:R6"/>
    <mergeCell ref="S5:S6"/>
    <mergeCell ref="T5:T6"/>
    <mergeCell ref="L5:N5"/>
    <mergeCell ref="A5:A6"/>
    <mergeCell ref="B5:B6"/>
    <mergeCell ref="O5:Q5"/>
    <mergeCell ref="C5:E5"/>
    <mergeCell ref="F5:H5"/>
    <mergeCell ref="I5:K5"/>
  </mergeCells>
  <pageMargins left="0.98425196850393704" right="0.98425196850393704" top="0.98425196850393704" bottom="0.98425196850393704" header="0.51181102362204722" footer="0.51181102362204722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6"/>
  <sheetViews>
    <sheetView view="pageBreakPreview" zoomScaleNormal="80" zoomScaleSheetLayoutView="100" workbookViewId="0">
      <selection activeCell="R13" sqref="R13"/>
    </sheetView>
  </sheetViews>
  <sheetFormatPr defaultRowHeight="15" x14ac:dyDescent="0.25"/>
  <cols>
    <col min="1" max="1" width="3.7109375" customWidth="1"/>
    <col min="2" max="2" width="20.28515625" customWidth="1"/>
    <col min="3" max="4" width="5.5703125" customWidth="1"/>
    <col min="5" max="5" width="7.28515625" customWidth="1"/>
    <col min="6" max="6" width="6.140625" customWidth="1"/>
    <col min="7" max="7" width="6.28515625" customWidth="1"/>
    <col min="8" max="8" width="7.28515625" customWidth="1"/>
    <col min="9" max="9" width="6.28515625" customWidth="1"/>
    <col min="10" max="10" width="6.42578125" customWidth="1"/>
    <col min="11" max="11" width="7.28515625" customWidth="1"/>
    <col min="12" max="13" width="6.42578125" customWidth="1"/>
    <col min="14" max="17" width="7.140625" customWidth="1"/>
    <col min="18" max="18" width="6.7109375" customWidth="1"/>
    <col min="19" max="19" width="6.5703125" customWidth="1"/>
    <col min="20" max="20" width="7.7109375" customWidth="1"/>
  </cols>
  <sheetData>
    <row r="1" spans="1:20" x14ac:dyDescent="0.25">
      <c r="T1" s="10" t="s">
        <v>173</v>
      </c>
    </row>
    <row r="2" spans="1:20" x14ac:dyDescent="0.25">
      <c r="A2" s="3"/>
    </row>
    <row r="3" spans="1:20" x14ac:dyDescent="0.25">
      <c r="A3" s="16" t="s">
        <v>104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25">
      <c r="A4" s="6"/>
    </row>
    <row r="5" spans="1:20" ht="30" customHeight="1" x14ac:dyDescent="0.25">
      <c r="A5" s="159" t="s">
        <v>0</v>
      </c>
      <c r="B5" s="159" t="s">
        <v>1</v>
      </c>
      <c r="C5" s="159">
        <v>2018</v>
      </c>
      <c r="D5" s="159"/>
      <c r="E5" s="159"/>
      <c r="F5" s="159">
        <v>2019</v>
      </c>
      <c r="G5" s="159"/>
      <c r="H5" s="159"/>
      <c r="I5" s="159">
        <v>2020</v>
      </c>
      <c r="J5" s="159"/>
      <c r="K5" s="159"/>
      <c r="L5" s="159">
        <v>2021</v>
      </c>
      <c r="M5" s="159"/>
      <c r="N5" s="159"/>
      <c r="O5" s="159">
        <v>2022</v>
      </c>
      <c r="P5" s="159"/>
      <c r="Q5" s="159"/>
      <c r="R5" s="159" t="s">
        <v>144</v>
      </c>
      <c r="S5" s="159" t="s">
        <v>109</v>
      </c>
      <c r="T5" s="159" t="s">
        <v>145</v>
      </c>
    </row>
    <row r="6" spans="1:20" ht="30.75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1:20" ht="30" x14ac:dyDescent="0.25">
      <c r="A7" s="159"/>
      <c r="B7" s="159"/>
      <c r="C7" s="127" t="s">
        <v>2</v>
      </c>
      <c r="D7" s="127" t="s">
        <v>3</v>
      </c>
      <c r="E7" s="127" t="s">
        <v>98</v>
      </c>
      <c r="F7" s="127" t="s">
        <v>2</v>
      </c>
      <c r="G7" s="127" t="s">
        <v>3</v>
      </c>
      <c r="H7" s="127" t="s">
        <v>98</v>
      </c>
      <c r="I7" s="127" t="s">
        <v>2</v>
      </c>
      <c r="J7" s="127" t="s">
        <v>3</v>
      </c>
      <c r="K7" s="127" t="s">
        <v>98</v>
      </c>
      <c r="L7" s="127" t="s">
        <v>2</v>
      </c>
      <c r="M7" s="127" t="s">
        <v>3</v>
      </c>
      <c r="N7" s="127" t="s">
        <v>98</v>
      </c>
      <c r="O7" s="127" t="s">
        <v>2</v>
      </c>
      <c r="P7" s="127" t="s">
        <v>3</v>
      </c>
      <c r="Q7" s="127" t="s">
        <v>98</v>
      </c>
      <c r="R7" s="159"/>
      <c r="S7" s="159"/>
      <c r="T7" s="159"/>
    </row>
    <row r="8" spans="1:20" x14ac:dyDescent="0.25">
      <c r="A8" s="127"/>
      <c r="B8" s="127" t="s">
        <v>35</v>
      </c>
      <c r="C8" s="151">
        <v>686</v>
      </c>
      <c r="D8" s="151">
        <v>104.9</v>
      </c>
      <c r="E8" s="151">
        <v>100</v>
      </c>
      <c r="F8" s="46">
        <v>699</v>
      </c>
      <c r="G8" s="46">
        <f>ROUND((F8*1000/6535),1)</f>
        <v>107</v>
      </c>
      <c r="H8" s="46">
        <v>100</v>
      </c>
      <c r="I8" s="46">
        <v>765</v>
      </c>
      <c r="J8" s="46">
        <v>117.7</v>
      </c>
      <c r="K8" s="46">
        <v>100</v>
      </c>
      <c r="L8" s="51">
        <v>141</v>
      </c>
      <c r="M8" s="46">
        <f>ROUND((L8*1000/1967),1)</f>
        <v>71.7</v>
      </c>
      <c r="N8" s="46">
        <v>100</v>
      </c>
      <c r="O8" s="51">
        <v>151</v>
      </c>
      <c r="P8" s="46">
        <f>ROUND((O8*1000/1907),1)</f>
        <v>79.2</v>
      </c>
      <c r="Q8" s="46">
        <v>100</v>
      </c>
      <c r="R8" s="18">
        <f>P8/M8*100-100</f>
        <v>10.460251046025107</v>
      </c>
      <c r="S8" s="18">
        <f>SUM(D8,J8,G8,M8,P8)/5</f>
        <v>96.1</v>
      </c>
      <c r="T8" s="18">
        <f>P8/S8*100-100</f>
        <v>-17.585848074921955</v>
      </c>
    </row>
    <row r="9" spans="1:20" ht="30" x14ac:dyDescent="0.25">
      <c r="A9" s="127">
        <v>1</v>
      </c>
      <c r="B9" s="127" t="s">
        <v>101</v>
      </c>
      <c r="C9" s="151">
        <v>2</v>
      </c>
      <c r="D9" s="151">
        <v>0.3</v>
      </c>
      <c r="E9" s="151">
        <v>0.3</v>
      </c>
      <c r="F9" s="46">
        <v>2</v>
      </c>
      <c r="G9" s="46">
        <f t="shared" ref="G9:G16" si="0">ROUND((F9*1000/6535),1)</f>
        <v>0.3</v>
      </c>
      <c r="H9" s="46">
        <f t="shared" ref="H9:H16" si="1">F9/F$8*100</f>
        <v>0.28612303290414876</v>
      </c>
      <c r="I9" s="46">
        <v>2</v>
      </c>
      <c r="J9" s="46">
        <v>0.3</v>
      </c>
      <c r="K9" s="46">
        <f>I9/I8*100</f>
        <v>0.26143790849673199</v>
      </c>
      <c r="L9" s="51">
        <v>7</v>
      </c>
      <c r="M9" s="46">
        <f t="shared" ref="M9:M16" si="2">ROUND((L9*1000/1967),1)</f>
        <v>3.6</v>
      </c>
      <c r="N9" s="46">
        <f>L9/L8*100</f>
        <v>4.9645390070921991</v>
      </c>
      <c r="O9" s="51">
        <v>5</v>
      </c>
      <c r="P9" s="46">
        <f t="shared" ref="P9:P16" si="3">ROUND((O9*1000/1907),1)</f>
        <v>2.6</v>
      </c>
      <c r="Q9" s="46">
        <f>O9/O8*100</f>
        <v>3.3112582781456954</v>
      </c>
      <c r="R9" s="18">
        <f t="shared" ref="R9:R15" si="4">P9/M9*100-100</f>
        <v>-27.777777777777786</v>
      </c>
      <c r="S9" s="18">
        <f t="shared" ref="S9:S16" si="5">SUM(D9,J9,G9,M9,P9)/5</f>
        <v>1.42</v>
      </c>
      <c r="T9" s="18">
        <f t="shared" ref="T9:T15" si="6">P9/S9*100-100</f>
        <v>83.098591549295804</v>
      </c>
    </row>
    <row r="10" spans="1:20" ht="30" x14ac:dyDescent="0.25">
      <c r="A10" s="127">
        <v>2</v>
      </c>
      <c r="B10" s="127" t="s">
        <v>99</v>
      </c>
      <c r="C10" s="151">
        <v>40</v>
      </c>
      <c r="D10" s="151">
        <v>5.8</v>
      </c>
      <c r="E10" s="151">
        <v>6.1</v>
      </c>
      <c r="F10" s="46">
        <v>44</v>
      </c>
      <c r="G10" s="46">
        <f t="shared" si="0"/>
        <v>6.7</v>
      </c>
      <c r="H10" s="46">
        <f t="shared" si="1"/>
        <v>6.2947067238912728</v>
      </c>
      <c r="I10" s="46">
        <v>49</v>
      </c>
      <c r="J10" s="46">
        <v>7.5</v>
      </c>
      <c r="K10" s="46">
        <f>I10/I8*100</f>
        <v>6.4052287581699341</v>
      </c>
      <c r="L10" s="51">
        <v>12</v>
      </c>
      <c r="M10" s="46">
        <f t="shared" si="2"/>
        <v>6.1</v>
      </c>
      <c r="N10" s="46">
        <f>L10/L8*100</f>
        <v>8.5106382978723403</v>
      </c>
      <c r="O10" s="51">
        <v>14</v>
      </c>
      <c r="P10" s="46">
        <f t="shared" si="3"/>
        <v>7.3</v>
      </c>
      <c r="Q10" s="46">
        <f>O10/O8*100</f>
        <v>9.2715231788079464</v>
      </c>
      <c r="R10" s="18">
        <f t="shared" si="4"/>
        <v>19.672131147540981</v>
      </c>
      <c r="S10" s="18">
        <f t="shared" si="5"/>
        <v>6.68</v>
      </c>
      <c r="T10" s="18">
        <f t="shared" si="6"/>
        <v>9.2814371257485107</v>
      </c>
    </row>
    <row r="11" spans="1:20" ht="45" x14ac:dyDescent="0.25">
      <c r="A11" s="127">
        <v>3</v>
      </c>
      <c r="B11" s="127" t="s">
        <v>105</v>
      </c>
      <c r="C11" s="151">
        <v>9</v>
      </c>
      <c r="D11" s="151">
        <v>1.4</v>
      </c>
      <c r="E11" s="151">
        <v>1.3</v>
      </c>
      <c r="F11" s="46">
        <v>7</v>
      </c>
      <c r="G11" s="46">
        <f t="shared" si="0"/>
        <v>1.1000000000000001</v>
      </c>
      <c r="H11" s="46">
        <f t="shared" si="1"/>
        <v>1.0014306151645207</v>
      </c>
      <c r="I11" s="46">
        <v>6</v>
      </c>
      <c r="J11" s="46">
        <v>0.9</v>
      </c>
      <c r="K11" s="46">
        <f>I11/I8*100</f>
        <v>0.78431372549019607</v>
      </c>
      <c r="L11" s="51">
        <v>0</v>
      </c>
      <c r="M11" s="46">
        <f t="shared" si="2"/>
        <v>0</v>
      </c>
      <c r="N11" s="46">
        <f>L11/L8*100</f>
        <v>0</v>
      </c>
      <c r="O11" s="51">
        <v>0</v>
      </c>
      <c r="P11" s="46">
        <f t="shared" si="3"/>
        <v>0</v>
      </c>
      <c r="Q11" s="46">
        <f>O11/O8*100</f>
        <v>0</v>
      </c>
      <c r="R11" s="18">
        <v>0</v>
      </c>
      <c r="S11" s="18">
        <f t="shared" si="5"/>
        <v>0.67999999999999994</v>
      </c>
      <c r="T11" s="18">
        <f t="shared" si="6"/>
        <v>-100</v>
      </c>
    </row>
    <row r="12" spans="1:20" ht="45" x14ac:dyDescent="0.25">
      <c r="A12" s="127">
        <v>4</v>
      </c>
      <c r="B12" s="127" t="s">
        <v>100</v>
      </c>
      <c r="C12" s="151">
        <v>12</v>
      </c>
      <c r="D12" s="151">
        <v>1.8</v>
      </c>
      <c r="E12" s="151">
        <v>1.7</v>
      </c>
      <c r="F12" s="46">
        <v>17</v>
      </c>
      <c r="G12" s="46">
        <f t="shared" si="0"/>
        <v>2.6</v>
      </c>
      <c r="H12" s="46">
        <f t="shared" si="1"/>
        <v>2.4320457796852648</v>
      </c>
      <c r="I12" s="46">
        <v>19</v>
      </c>
      <c r="J12" s="46">
        <v>2.9</v>
      </c>
      <c r="K12" s="46">
        <f>I12/I8*100</f>
        <v>2.4836601307189543</v>
      </c>
      <c r="L12" s="51">
        <v>3</v>
      </c>
      <c r="M12" s="46">
        <f t="shared" si="2"/>
        <v>1.5</v>
      </c>
      <c r="N12" s="46">
        <f>L12/L8*100</f>
        <v>2.1276595744680851</v>
      </c>
      <c r="O12" s="51">
        <v>7</v>
      </c>
      <c r="P12" s="46">
        <f t="shared" si="3"/>
        <v>3.7</v>
      </c>
      <c r="Q12" s="46">
        <f>O12/O8*100</f>
        <v>4.6357615894039732</v>
      </c>
      <c r="R12" s="18" t="s">
        <v>265</v>
      </c>
      <c r="S12" s="18">
        <f t="shared" si="5"/>
        <v>2.5</v>
      </c>
      <c r="T12" s="18">
        <f t="shared" si="6"/>
        <v>48</v>
      </c>
    </row>
    <row r="13" spans="1:20" ht="30" x14ac:dyDescent="0.25">
      <c r="A13" s="127">
        <v>5</v>
      </c>
      <c r="B13" s="127" t="s">
        <v>102</v>
      </c>
      <c r="C13" s="151">
        <v>6</v>
      </c>
      <c r="D13" s="151">
        <v>0.9</v>
      </c>
      <c r="E13" s="151">
        <v>0.9</v>
      </c>
      <c r="F13" s="46">
        <v>9</v>
      </c>
      <c r="G13" s="46">
        <f t="shared" si="0"/>
        <v>1.4</v>
      </c>
      <c r="H13" s="46">
        <f t="shared" si="1"/>
        <v>1.2875536480686696</v>
      </c>
      <c r="I13" s="46">
        <v>10</v>
      </c>
      <c r="J13" s="46">
        <v>1.5</v>
      </c>
      <c r="K13" s="46">
        <f>I13/I8*100</f>
        <v>1.3071895424836601</v>
      </c>
      <c r="L13" s="51">
        <v>4</v>
      </c>
      <c r="M13" s="46">
        <f t="shared" si="2"/>
        <v>2</v>
      </c>
      <c r="N13" s="46">
        <f>L13/L8*100</f>
        <v>2.8368794326241136</v>
      </c>
      <c r="O13" s="51">
        <v>2</v>
      </c>
      <c r="P13" s="46">
        <f t="shared" si="3"/>
        <v>1</v>
      </c>
      <c r="Q13" s="46">
        <f>O13/O8*100</f>
        <v>1.3245033112582782</v>
      </c>
      <c r="R13" s="18">
        <f t="shared" si="4"/>
        <v>-50</v>
      </c>
      <c r="S13" s="18">
        <f t="shared" si="5"/>
        <v>1.3599999999999999</v>
      </c>
      <c r="T13" s="18">
        <f t="shared" si="6"/>
        <v>-26.470588235294116</v>
      </c>
    </row>
    <row r="14" spans="1:20" ht="45" x14ac:dyDescent="0.25">
      <c r="A14" s="127">
        <v>6</v>
      </c>
      <c r="B14" s="127" t="s">
        <v>103</v>
      </c>
      <c r="C14" s="151">
        <v>0</v>
      </c>
      <c r="D14" s="151">
        <v>0</v>
      </c>
      <c r="E14" s="151">
        <v>0</v>
      </c>
      <c r="F14" s="46">
        <v>0</v>
      </c>
      <c r="G14" s="46">
        <f t="shared" si="0"/>
        <v>0</v>
      </c>
      <c r="H14" s="46">
        <f t="shared" si="1"/>
        <v>0</v>
      </c>
      <c r="I14" s="46">
        <v>0</v>
      </c>
      <c r="J14" s="46">
        <v>0</v>
      </c>
      <c r="K14" s="46">
        <f>I14/I8*100</f>
        <v>0</v>
      </c>
      <c r="L14" s="51">
        <v>0</v>
      </c>
      <c r="M14" s="46">
        <f t="shared" si="2"/>
        <v>0</v>
      </c>
      <c r="N14" s="46">
        <f>L14/L8*100</f>
        <v>0</v>
      </c>
      <c r="O14" s="51">
        <v>0</v>
      </c>
      <c r="P14" s="46">
        <f t="shared" si="3"/>
        <v>0</v>
      </c>
      <c r="Q14" s="46">
        <f>O14/O8*100</f>
        <v>0</v>
      </c>
      <c r="R14" s="18">
        <v>0</v>
      </c>
      <c r="S14" s="18">
        <f t="shared" si="5"/>
        <v>0</v>
      </c>
      <c r="T14" s="18">
        <v>0</v>
      </c>
    </row>
    <row r="15" spans="1:20" ht="30" x14ac:dyDescent="0.25">
      <c r="A15" s="127">
        <v>7</v>
      </c>
      <c r="B15" s="13" t="s">
        <v>107</v>
      </c>
      <c r="C15" s="151">
        <v>2</v>
      </c>
      <c r="D15" s="151">
        <v>0.3</v>
      </c>
      <c r="E15" s="151">
        <v>0.3</v>
      </c>
      <c r="F15" s="46">
        <v>1</v>
      </c>
      <c r="G15" s="46">
        <f t="shared" si="0"/>
        <v>0.2</v>
      </c>
      <c r="H15" s="46">
        <f t="shared" si="1"/>
        <v>0.14306151645207438</v>
      </c>
      <c r="I15" s="46">
        <v>1</v>
      </c>
      <c r="J15" s="46">
        <v>0.2</v>
      </c>
      <c r="K15" s="46">
        <f>I15/I8*100</f>
        <v>0.13071895424836599</v>
      </c>
      <c r="L15" s="51">
        <v>1</v>
      </c>
      <c r="M15" s="46">
        <f t="shared" si="2"/>
        <v>0.5</v>
      </c>
      <c r="N15" s="46">
        <f>L15/L8*100</f>
        <v>0.70921985815602839</v>
      </c>
      <c r="O15" s="51">
        <v>1</v>
      </c>
      <c r="P15" s="46">
        <f t="shared" si="3"/>
        <v>0.5</v>
      </c>
      <c r="Q15" s="46">
        <f>O15/O8*100</f>
        <v>0.66225165562913912</v>
      </c>
      <c r="R15" s="18">
        <f t="shared" si="4"/>
        <v>0</v>
      </c>
      <c r="S15" s="18">
        <f t="shared" si="5"/>
        <v>0.33999999999999997</v>
      </c>
      <c r="T15" s="18">
        <f t="shared" si="6"/>
        <v>47.058823529411768</v>
      </c>
    </row>
    <row r="16" spans="1:20" ht="45" x14ac:dyDescent="0.25">
      <c r="A16" s="21">
        <v>8</v>
      </c>
      <c r="B16" s="13" t="s">
        <v>239</v>
      </c>
      <c r="C16" s="151">
        <v>1</v>
      </c>
      <c r="D16" s="151">
        <v>0.2</v>
      </c>
      <c r="E16" s="151">
        <v>0.1</v>
      </c>
      <c r="F16" s="46">
        <v>2</v>
      </c>
      <c r="G16" s="46">
        <f t="shared" si="0"/>
        <v>0.3</v>
      </c>
      <c r="H16" s="46">
        <f t="shared" si="1"/>
        <v>0.28612303290414876</v>
      </c>
      <c r="I16" s="46">
        <v>2</v>
      </c>
      <c r="J16" s="46">
        <v>0.3</v>
      </c>
      <c r="K16" s="46">
        <f>I16/I8*100</f>
        <v>0.26143790849673199</v>
      </c>
      <c r="L16" s="51">
        <v>1</v>
      </c>
      <c r="M16" s="46">
        <f t="shared" si="2"/>
        <v>0.5</v>
      </c>
      <c r="N16" s="46">
        <f>L16/L8*100</f>
        <v>0.70921985815602839</v>
      </c>
      <c r="O16" s="51">
        <v>3</v>
      </c>
      <c r="P16" s="46">
        <f t="shared" si="3"/>
        <v>1.6</v>
      </c>
      <c r="Q16" s="46">
        <f>O16/O8*100</f>
        <v>1.9867549668874174</v>
      </c>
      <c r="R16" s="18" t="s">
        <v>280</v>
      </c>
      <c r="S16" s="18">
        <f t="shared" si="5"/>
        <v>0.58000000000000007</v>
      </c>
      <c r="T16" s="18" t="s">
        <v>277</v>
      </c>
    </row>
  </sheetData>
  <mergeCells count="10">
    <mergeCell ref="R5:R7"/>
    <mergeCell ref="S5:S7"/>
    <mergeCell ref="T5:T7"/>
    <mergeCell ref="A5:A7"/>
    <mergeCell ref="B5:B7"/>
    <mergeCell ref="L5:N6"/>
    <mergeCell ref="O5:Q6"/>
    <mergeCell ref="C5:E6"/>
    <mergeCell ref="F5:H6"/>
    <mergeCell ref="I5:K6"/>
  </mergeCells>
  <pageMargins left="0.98425196850393704" right="0.98425196850393704" top="0.98425196850393704" bottom="0.98425196850393704" header="0.51181102362204722" footer="0.51181102362204722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6"/>
  <sheetViews>
    <sheetView view="pageBreakPreview" zoomScale="130" zoomScaleNormal="80" zoomScaleSheetLayoutView="130" workbookViewId="0">
      <selection activeCell="R15" sqref="R15"/>
    </sheetView>
  </sheetViews>
  <sheetFormatPr defaultRowHeight="15" x14ac:dyDescent="0.25"/>
  <cols>
    <col min="1" max="1" width="3.7109375" customWidth="1"/>
    <col min="2" max="2" width="26.7109375" customWidth="1"/>
    <col min="3" max="3" width="5.5703125" customWidth="1"/>
    <col min="4" max="4" width="5.85546875" customWidth="1"/>
    <col min="5" max="5" width="7.28515625" bestFit="1" customWidth="1"/>
    <col min="6" max="7" width="5.5703125" customWidth="1"/>
    <col min="8" max="8" width="7.28515625" bestFit="1" customWidth="1"/>
    <col min="9" max="10" width="5.42578125" customWidth="1"/>
    <col min="11" max="11" width="7.28515625" bestFit="1" customWidth="1"/>
    <col min="12" max="13" width="5.5703125" customWidth="1"/>
    <col min="14" max="14" width="7.28515625" bestFit="1" customWidth="1"/>
    <col min="15" max="16" width="5.5703125" customWidth="1"/>
    <col min="17" max="17" width="7.28515625" bestFit="1" customWidth="1"/>
    <col min="18" max="18" width="7" customWidth="1"/>
    <col min="19" max="19" width="6" customWidth="1"/>
    <col min="20" max="20" width="6.7109375" customWidth="1"/>
  </cols>
  <sheetData>
    <row r="1" spans="1:20" x14ac:dyDescent="0.25">
      <c r="T1" s="10" t="s">
        <v>174</v>
      </c>
    </row>
    <row r="2" spans="1:20" x14ac:dyDescent="0.25">
      <c r="A2" s="3"/>
    </row>
    <row r="3" spans="1:20" x14ac:dyDescent="0.25">
      <c r="A3" s="16" t="s">
        <v>106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25">
      <c r="A4" s="2"/>
    </row>
    <row r="5" spans="1:20" ht="60" customHeight="1" x14ac:dyDescent="0.25">
      <c r="A5" s="159" t="s">
        <v>0</v>
      </c>
      <c r="B5" s="159" t="s">
        <v>1</v>
      </c>
      <c r="C5" s="159">
        <v>2018</v>
      </c>
      <c r="D5" s="159"/>
      <c r="E5" s="159"/>
      <c r="F5" s="159">
        <v>2019</v>
      </c>
      <c r="G5" s="159"/>
      <c r="H5" s="159"/>
      <c r="I5" s="159">
        <v>2020</v>
      </c>
      <c r="J5" s="159"/>
      <c r="K5" s="159"/>
      <c r="L5" s="159">
        <v>2021</v>
      </c>
      <c r="M5" s="159"/>
      <c r="N5" s="159"/>
      <c r="O5" s="159">
        <v>2022</v>
      </c>
      <c r="P5" s="159"/>
      <c r="Q5" s="159"/>
      <c r="R5" s="159" t="s">
        <v>144</v>
      </c>
      <c r="S5" s="159" t="s">
        <v>109</v>
      </c>
      <c r="T5" s="159" t="s">
        <v>145</v>
      </c>
    </row>
    <row r="6" spans="1:20" ht="0.75" customHeight="1" x14ac:dyDescent="0.25">
      <c r="A6" s="159"/>
      <c r="B6" s="159"/>
      <c r="C6" s="127"/>
      <c r="D6" s="127"/>
      <c r="E6" s="127"/>
      <c r="F6" s="127"/>
      <c r="G6" s="127"/>
      <c r="H6" s="127"/>
      <c r="I6" s="127"/>
      <c r="J6" s="127"/>
      <c r="K6" s="127"/>
      <c r="L6" s="159"/>
      <c r="M6" s="159"/>
      <c r="N6" s="159"/>
      <c r="O6" s="159"/>
      <c r="P6" s="159"/>
      <c r="Q6" s="159"/>
      <c r="R6" s="159"/>
      <c r="S6" s="159"/>
      <c r="T6" s="159"/>
    </row>
    <row r="7" spans="1:20" x14ac:dyDescent="0.25">
      <c r="A7" s="159"/>
      <c r="B7" s="159"/>
      <c r="C7" s="127" t="s">
        <v>2</v>
      </c>
      <c r="D7" s="127" t="s">
        <v>3</v>
      </c>
      <c r="E7" s="127" t="s">
        <v>98</v>
      </c>
      <c r="F7" s="127" t="s">
        <v>2</v>
      </c>
      <c r="G7" s="127" t="s">
        <v>3</v>
      </c>
      <c r="H7" s="127" t="s">
        <v>98</v>
      </c>
      <c r="I7" s="127" t="s">
        <v>2</v>
      </c>
      <c r="J7" s="127" t="s">
        <v>3</v>
      </c>
      <c r="K7" s="127" t="s">
        <v>98</v>
      </c>
      <c r="L7" s="127" t="s">
        <v>2</v>
      </c>
      <c r="M7" s="127" t="s">
        <v>3</v>
      </c>
      <c r="N7" s="127" t="s">
        <v>98</v>
      </c>
      <c r="O7" s="127" t="s">
        <v>2</v>
      </c>
      <c r="P7" s="127" t="s">
        <v>3</v>
      </c>
      <c r="Q7" s="127" t="s">
        <v>98</v>
      </c>
      <c r="R7" s="159"/>
      <c r="S7" s="159"/>
      <c r="T7" s="159"/>
    </row>
    <row r="8" spans="1:20" x14ac:dyDescent="0.25">
      <c r="A8" s="127"/>
      <c r="B8" s="127" t="s">
        <v>35</v>
      </c>
      <c r="C8" s="151">
        <v>2149</v>
      </c>
      <c r="D8" s="151">
        <v>95.5</v>
      </c>
      <c r="E8" s="151">
        <v>100</v>
      </c>
      <c r="F8" s="47">
        <v>2173</v>
      </c>
      <c r="G8" s="46">
        <f>ROUND((F8*1000/22509),1)</f>
        <v>96.5</v>
      </c>
      <c r="H8" s="46">
        <v>100</v>
      </c>
      <c r="I8" s="47">
        <v>2112</v>
      </c>
      <c r="J8" s="46">
        <f>ROUND((I8*1000/22267),1)</f>
        <v>94.8</v>
      </c>
      <c r="K8" s="46">
        <v>100</v>
      </c>
      <c r="L8" s="47">
        <v>506</v>
      </c>
      <c r="M8" s="46">
        <f>ROUND((L8*1000/6729),1)</f>
        <v>75.2</v>
      </c>
      <c r="N8" s="46">
        <v>100</v>
      </c>
      <c r="O8" s="47">
        <v>377</v>
      </c>
      <c r="P8" s="46">
        <f>ROUND((O8*1000/6664),1)</f>
        <v>56.6</v>
      </c>
      <c r="Q8" s="46">
        <v>100</v>
      </c>
      <c r="R8" s="18">
        <f>P8/M8*100-100</f>
        <v>-24.7340425531915</v>
      </c>
      <c r="S8" s="18">
        <f>SUM(D8,G8,J8,M8,P8)/5</f>
        <v>83.72</v>
      </c>
      <c r="T8" s="18">
        <f>P8/S8*100-100</f>
        <v>-32.393693263258484</v>
      </c>
    </row>
    <row r="9" spans="1:20" ht="30" x14ac:dyDescent="0.25">
      <c r="A9" s="127">
        <v>1</v>
      </c>
      <c r="B9" s="127" t="s">
        <v>99</v>
      </c>
      <c r="C9" s="151">
        <v>255</v>
      </c>
      <c r="D9" s="151">
        <v>11.3</v>
      </c>
      <c r="E9" s="151">
        <v>11.9</v>
      </c>
      <c r="F9" s="47">
        <v>256</v>
      </c>
      <c r="G9" s="46">
        <f t="shared" ref="G9:G16" si="0">ROUND((F9*1000/22509),1)</f>
        <v>11.4</v>
      </c>
      <c r="H9" s="46">
        <f t="shared" ref="H9:H16" si="1">F9/F$8*100</f>
        <v>11.780947998159228</v>
      </c>
      <c r="I9" s="47">
        <v>244</v>
      </c>
      <c r="J9" s="46">
        <f t="shared" ref="J9:J16" si="2">ROUND((I9*1000/22267),1)</f>
        <v>11</v>
      </c>
      <c r="K9" s="46">
        <f>I9/I8*100</f>
        <v>11.553030303030303</v>
      </c>
      <c r="L9" s="47">
        <v>60</v>
      </c>
      <c r="M9" s="46">
        <f t="shared" ref="M9:M16" si="3">ROUND((L9*1000/6729),1)</f>
        <v>8.9</v>
      </c>
      <c r="N9" s="46">
        <f>L9/L8*100</f>
        <v>11.857707509881422</v>
      </c>
      <c r="O9" s="47">
        <v>31</v>
      </c>
      <c r="P9" s="46">
        <f t="shared" ref="P9:P16" si="4">ROUND((O9*1000/6664),1)</f>
        <v>4.7</v>
      </c>
      <c r="Q9" s="46">
        <f>O9/O8*100</f>
        <v>8.2228116710875341</v>
      </c>
      <c r="R9" s="18">
        <f t="shared" ref="R9:R13" si="5">P9/M9*100-100</f>
        <v>-47.19101123595506</v>
      </c>
      <c r="S9" s="18">
        <f t="shared" ref="S9:S16" si="6">SUM(D9,G9,J9,M9,P9)/5</f>
        <v>9.4600000000000009</v>
      </c>
      <c r="T9" s="18">
        <f t="shared" ref="T9:T16" si="7">P9/S9*100-100</f>
        <v>-50.317124735729394</v>
      </c>
    </row>
    <row r="10" spans="1:20" ht="30" x14ac:dyDescent="0.25">
      <c r="A10" s="127">
        <v>2</v>
      </c>
      <c r="B10" s="127" t="s">
        <v>100</v>
      </c>
      <c r="C10" s="151">
        <v>133</v>
      </c>
      <c r="D10" s="151">
        <v>5.9</v>
      </c>
      <c r="E10" s="151">
        <v>6.2</v>
      </c>
      <c r="F10" s="47">
        <v>139</v>
      </c>
      <c r="G10" s="46">
        <f t="shared" si="0"/>
        <v>6.2</v>
      </c>
      <c r="H10" s="46">
        <f t="shared" si="1"/>
        <v>6.3966866083755178</v>
      </c>
      <c r="I10" s="47">
        <v>116</v>
      </c>
      <c r="J10" s="46">
        <f t="shared" si="2"/>
        <v>5.2</v>
      </c>
      <c r="K10" s="46">
        <f>I10/I8*100</f>
        <v>5.4924242424242422</v>
      </c>
      <c r="L10" s="47">
        <v>65</v>
      </c>
      <c r="M10" s="46">
        <f t="shared" si="3"/>
        <v>9.6999999999999993</v>
      </c>
      <c r="N10" s="46">
        <f>L10/L8*100</f>
        <v>12.845849802371543</v>
      </c>
      <c r="O10" s="47">
        <v>30</v>
      </c>
      <c r="P10" s="46">
        <f t="shared" si="4"/>
        <v>4.5</v>
      </c>
      <c r="Q10" s="46">
        <f>O10/O8*100</f>
        <v>7.957559681697612</v>
      </c>
      <c r="R10" s="18">
        <f t="shared" si="5"/>
        <v>-53.608247422680414</v>
      </c>
      <c r="S10" s="18">
        <f t="shared" si="6"/>
        <v>6.3</v>
      </c>
      <c r="T10" s="18">
        <f t="shared" si="7"/>
        <v>-28.571428571428569</v>
      </c>
    </row>
    <row r="11" spans="1:20" ht="30" x14ac:dyDescent="0.25">
      <c r="A11" s="127">
        <v>3</v>
      </c>
      <c r="B11" s="127" t="s">
        <v>102</v>
      </c>
      <c r="C11" s="151">
        <v>62</v>
      </c>
      <c r="D11" s="151">
        <v>2.8</v>
      </c>
      <c r="E11" s="151">
        <v>2.9</v>
      </c>
      <c r="F11" s="47">
        <v>64</v>
      </c>
      <c r="G11" s="46">
        <f t="shared" si="0"/>
        <v>2.8</v>
      </c>
      <c r="H11" s="46">
        <f t="shared" si="1"/>
        <v>2.9452369995398069</v>
      </c>
      <c r="I11" s="47">
        <v>61</v>
      </c>
      <c r="J11" s="46">
        <f t="shared" si="2"/>
        <v>2.7</v>
      </c>
      <c r="K11" s="46">
        <f>I11/I8*100</f>
        <v>2.8882575757575757</v>
      </c>
      <c r="L11" s="47">
        <v>14</v>
      </c>
      <c r="M11" s="46">
        <f t="shared" si="3"/>
        <v>2.1</v>
      </c>
      <c r="N11" s="46">
        <f>L11/L8*100</f>
        <v>2.766798418972332</v>
      </c>
      <c r="O11" s="47">
        <v>10</v>
      </c>
      <c r="P11" s="46">
        <f t="shared" si="4"/>
        <v>1.5</v>
      </c>
      <c r="Q11" s="46">
        <f>O11/O8*100</f>
        <v>2.6525198938992043</v>
      </c>
      <c r="R11" s="18">
        <f t="shared" si="5"/>
        <v>-28.571428571428569</v>
      </c>
      <c r="S11" s="18">
        <f t="shared" si="6"/>
        <v>2.38</v>
      </c>
      <c r="T11" s="18">
        <f t="shared" si="7"/>
        <v>-36.97478991596639</v>
      </c>
    </row>
    <row r="12" spans="1:20" ht="30" x14ac:dyDescent="0.25">
      <c r="A12" s="127">
        <v>4</v>
      </c>
      <c r="B12" s="127" t="s">
        <v>103</v>
      </c>
      <c r="C12" s="151">
        <v>21</v>
      </c>
      <c r="D12" s="151">
        <v>1</v>
      </c>
      <c r="E12" s="151">
        <v>1</v>
      </c>
      <c r="F12" s="47">
        <v>27</v>
      </c>
      <c r="G12" s="46">
        <f t="shared" si="0"/>
        <v>1.2</v>
      </c>
      <c r="H12" s="46">
        <f t="shared" si="1"/>
        <v>1.2425218591808558</v>
      </c>
      <c r="I12" s="47">
        <v>23</v>
      </c>
      <c r="J12" s="46">
        <f t="shared" si="2"/>
        <v>1</v>
      </c>
      <c r="K12" s="46">
        <f>I12/I8*100</f>
        <v>1.0890151515151516</v>
      </c>
      <c r="L12" s="47">
        <v>12</v>
      </c>
      <c r="M12" s="46">
        <f t="shared" si="3"/>
        <v>1.8</v>
      </c>
      <c r="N12" s="46">
        <f>L12/L8*100</f>
        <v>2.3715415019762842</v>
      </c>
      <c r="O12" s="47">
        <v>13</v>
      </c>
      <c r="P12" s="46">
        <f t="shared" si="4"/>
        <v>2</v>
      </c>
      <c r="Q12" s="46">
        <f>O12/O8*100</f>
        <v>3.4482758620689653</v>
      </c>
      <c r="R12" s="18">
        <f t="shared" si="5"/>
        <v>11.111111111111114</v>
      </c>
      <c r="S12" s="18">
        <f t="shared" si="6"/>
        <v>1.4</v>
      </c>
      <c r="T12" s="18">
        <f t="shared" si="7"/>
        <v>42.857142857142861</v>
      </c>
    </row>
    <row r="13" spans="1:20" x14ac:dyDescent="0.25">
      <c r="A13" s="127">
        <v>5</v>
      </c>
      <c r="B13" s="127" t="s">
        <v>101</v>
      </c>
      <c r="C13" s="151">
        <v>17</v>
      </c>
      <c r="D13" s="151">
        <v>0.8</v>
      </c>
      <c r="E13" s="151">
        <v>0.8</v>
      </c>
      <c r="F13" s="47">
        <v>19</v>
      </c>
      <c r="G13" s="46">
        <f t="shared" si="0"/>
        <v>0.8</v>
      </c>
      <c r="H13" s="46">
        <f t="shared" si="1"/>
        <v>0.87436723423838014</v>
      </c>
      <c r="I13" s="47">
        <v>17</v>
      </c>
      <c r="J13" s="46">
        <f t="shared" si="2"/>
        <v>0.8</v>
      </c>
      <c r="K13" s="46">
        <f>I13/I8*100</f>
        <v>0.80492424242424243</v>
      </c>
      <c r="L13" s="47">
        <v>13</v>
      </c>
      <c r="M13" s="46">
        <f t="shared" si="3"/>
        <v>1.9</v>
      </c>
      <c r="N13" s="46">
        <f>L13/L8*100</f>
        <v>2.5691699604743086</v>
      </c>
      <c r="O13" s="47">
        <v>10</v>
      </c>
      <c r="P13" s="46">
        <f t="shared" si="4"/>
        <v>1.5</v>
      </c>
      <c r="Q13" s="46">
        <f>O13/O8*100</f>
        <v>2.6525198938992043</v>
      </c>
      <c r="R13" s="18">
        <f t="shared" si="5"/>
        <v>-21.05263157894737</v>
      </c>
      <c r="S13" s="18">
        <f t="shared" si="6"/>
        <v>1.1600000000000001</v>
      </c>
      <c r="T13" s="18">
        <f t="shared" si="7"/>
        <v>29.310344827586192</v>
      </c>
    </row>
    <row r="14" spans="1:20" ht="30" x14ac:dyDescent="0.25">
      <c r="A14" s="127">
        <v>9</v>
      </c>
      <c r="B14" s="127" t="s">
        <v>107</v>
      </c>
      <c r="C14" s="151">
        <v>23</v>
      </c>
      <c r="D14" s="151">
        <v>1</v>
      </c>
      <c r="E14" s="151">
        <v>1</v>
      </c>
      <c r="F14" s="47">
        <v>22</v>
      </c>
      <c r="G14" s="46">
        <f t="shared" si="0"/>
        <v>1</v>
      </c>
      <c r="H14" s="46">
        <f t="shared" si="1"/>
        <v>1.0124252185918086</v>
      </c>
      <c r="I14" s="47">
        <v>20</v>
      </c>
      <c r="J14" s="46">
        <f t="shared" si="2"/>
        <v>0.9</v>
      </c>
      <c r="K14" s="46">
        <f>I14/I8*100</f>
        <v>0.94696969696969702</v>
      </c>
      <c r="L14" s="47">
        <v>1</v>
      </c>
      <c r="M14" s="46">
        <f t="shared" si="3"/>
        <v>0.1</v>
      </c>
      <c r="N14" s="46">
        <f>L14/L8*100</f>
        <v>0.19762845849802371</v>
      </c>
      <c r="O14" s="47">
        <v>3</v>
      </c>
      <c r="P14" s="46">
        <f t="shared" si="4"/>
        <v>0.5</v>
      </c>
      <c r="Q14" s="46">
        <f>O14/O8*100</f>
        <v>0.79575596816976124</v>
      </c>
      <c r="R14" s="18" t="s">
        <v>291</v>
      </c>
      <c r="S14" s="18">
        <f t="shared" si="6"/>
        <v>0.7</v>
      </c>
      <c r="T14" s="18">
        <f t="shared" si="7"/>
        <v>-28.571428571428569</v>
      </c>
    </row>
    <row r="15" spans="1:20" ht="30" x14ac:dyDescent="0.25">
      <c r="A15" s="127">
        <v>6</v>
      </c>
      <c r="B15" s="127" t="s">
        <v>108</v>
      </c>
      <c r="C15" s="151">
        <v>15</v>
      </c>
      <c r="D15" s="151">
        <v>0.7</v>
      </c>
      <c r="E15" s="151">
        <v>0.7</v>
      </c>
      <c r="F15" s="47">
        <v>17</v>
      </c>
      <c r="G15" s="46">
        <f t="shared" si="0"/>
        <v>0.8</v>
      </c>
      <c r="H15" s="46">
        <f t="shared" si="1"/>
        <v>0.78232857800276112</v>
      </c>
      <c r="I15" s="47">
        <v>15</v>
      </c>
      <c r="J15" s="46">
        <f t="shared" si="2"/>
        <v>0.7</v>
      </c>
      <c r="K15" s="46">
        <f>I15/I8*100</f>
        <v>0.71022727272727271</v>
      </c>
      <c r="L15" s="47">
        <v>2</v>
      </c>
      <c r="M15" s="46">
        <f t="shared" si="3"/>
        <v>0.3</v>
      </c>
      <c r="N15" s="46">
        <f>L15/L8*100</f>
        <v>0.39525691699604742</v>
      </c>
      <c r="O15" s="47">
        <v>4</v>
      </c>
      <c r="P15" s="46">
        <f t="shared" si="4"/>
        <v>0.6</v>
      </c>
      <c r="Q15" s="46">
        <f>O15/O8*100</f>
        <v>1.0610079575596816</v>
      </c>
      <c r="R15" s="18" t="s">
        <v>276</v>
      </c>
      <c r="S15" s="18">
        <f t="shared" si="6"/>
        <v>0.62</v>
      </c>
      <c r="T15" s="18">
        <f t="shared" si="7"/>
        <v>-3.225806451612911</v>
      </c>
    </row>
    <row r="16" spans="1:20" ht="30.75" customHeight="1" x14ac:dyDescent="0.25">
      <c r="A16" s="127">
        <v>7</v>
      </c>
      <c r="B16" s="127" t="s">
        <v>105</v>
      </c>
      <c r="C16" s="151">
        <v>36</v>
      </c>
      <c r="D16" s="151">
        <v>1.6</v>
      </c>
      <c r="E16" s="151">
        <v>1.7</v>
      </c>
      <c r="F16" s="47">
        <v>27</v>
      </c>
      <c r="G16" s="46">
        <f t="shared" si="0"/>
        <v>1.2</v>
      </c>
      <c r="H16" s="46">
        <f t="shared" si="1"/>
        <v>1.2425218591808558</v>
      </c>
      <c r="I16" s="47">
        <v>21</v>
      </c>
      <c r="J16" s="46">
        <f t="shared" si="2"/>
        <v>0.9</v>
      </c>
      <c r="K16" s="46">
        <f>I16/I8*100</f>
        <v>0.99431818181818177</v>
      </c>
      <c r="L16" s="47">
        <v>0</v>
      </c>
      <c r="M16" s="46">
        <f t="shared" si="3"/>
        <v>0</v>
      </c>
      <c r="N16" s="46">
        <f>L16/L8*100</f>
        <v>0</v>
      </c>
      <c r="O16" s="47">
        <v>0</v>
      </c>
      <c r="P16" s="46">
        <f t="shared" si="4"/>
        <v>0</v>
      </c>
      <c r="Q16" s="46">
        <f>O16/O8*100</f>
        <v>0</v>
      </c>
      <c r="R16" s="18">
        <v>0</v>
      </c>
      <c r="S16" s="18">
        <f t="shared" si="6"/>
        <v>0.74</v>
      </c>
      <c r="T16" s="18">
        <f t="shared" si="7"/>
        <v>-100</v>
      </c>
    </row>
  </sheetData>
  <mergeCells count="10">
    <mergeCell ref="T5:T7"/>
    <mergeCell ref="A5:A7"/>
    <mergeCell ref="B5:B7"/>
    <mergeCell ref="L5:N6"/>
    <mergeCell ref="R5:R7"/>
    <mergeCell ref="S5:S7"/>
    <mergeCell ref="O5:Q6"/>
    <mergeCell ref="C5:E5"/>
    <mergeCell ref="F5:H5"/>
    <mergeCell ref="I5:K5"/>
  </mergeCells>
  <pageMargins left="0.98425196850393704" right="0.98425196850393704" top="0.98425196850393704" bottom="0.98425196850393704" header="0.51181102362204722" footer="0.51181102362204722"/>
  <pageSetup paperSize="9" scale="8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"/>
  <sheetViews>
    <sheetView view="pageBreakPreview" zoomScaleSheetLayoutView="100" workbookViewId="0">
      <selection activeCell="L7" sqref="L7"/>
    </sheetView>
  </sheetViews>
  <sheetFormatPr defaultColWidth="9.140625" defaultRowHeight="15" x14ac:dyDescent="0.25"/>
  <cols>
    <col min="1" max="1" width="3.5703125" style="6" customWidth="1"/>
    <col min="2" max="2" width="18" style="6" customWidth="1"/>
    <col min="3" max="12" width="7.42578125" style="6" customWidth="1"/>
    <col min="13" max="26" width="9.140625" style="6"/>
    <col min="27" max="27" width="9.140625" style="6" customWidth="1"/>
    <col min="28" max="16384" width="9.140625" style="6"/>
  </cols>
  <sheetData>
    <row r="1" spans="1:15" x14ac:dyDescent="0.25">
      <c r="O1" s="10" t="s">
        <v>178</v>
      </c>
    </row>
    <row r="2" spans="1:15" x14ac:dyDescent="0.25">
      <c r="A2" s="27" t="s">
        <v>256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4" spans="1:15" ht="15" customHeight="1" x14ac:dyDescent="0.25">
      <c r="A4" s="159" t="s">
        <v>0</v>
      </c>
      <c r="B4" s="159" t="s">
        <v>1</v>
      </c>
      <c r="C4" s="160">
        <v>2018</v>
      </c>
      <c r="D4" s="161"/>
      <c r="E4" s="160">
        <v>2019</v>
      </c>
      <c r="F4" s="161"/>
      <c r="G4" s="160">
        <v>2020</v>
      </c>
      <c r="H4" s="161"/>
      <c r="I4" s="160">
        <v>2021</v>
      </c>
      <c r="J4" s="161"/>
      <c r="K4" s="160">
        <v>2022</v>
      </c>
      <c r="L4" s="161"/>
      <c r="M4" s="159" t="s">
        <v>144</v>
      </c>
      <c r="N4" s="159" t="s">
        <v>109</v>
      </c>
      <c r="O4" s="159" t="s">
        <v>145</v>
      </c>
    </row>
    <row r="5" spans="1:15" x14ac:dyDescent="0.25">
      <c r="A5" s="159"/>
      <c r="B5" s="159"/>
      <c r="C5" s="162"/>
      <c r="D5" s="163"/>
      <c r="E5" s="162"/>
      <c r="F5" s="163"/>
      <c r="G5" s="162"/>
      <c r="H5" s="163"/>
      <c r="I5" s="162"/>
      <c r="J5" s="163"/>
      <c r="K5" s="162"/>
      <c r="L5" s="163"/>
      <c r="M5" s="159"/>
      <c r="N5" s="159"/>
      <c r="O5" s="159"/>
    </row>
    <row r="6" spans="1:15" ht="30" customHeight="1" x14ac:dyDescent="0.25">
      <c r="A6" s="159"/>
      <c r="B6" s="159"/>
      <c r="C6" s="96" t="s">
        <v>2</v>
      </c>
      <c r="D6" s="96" t="s">
        <v>3</v>
      </c>
      <c r="E6" s="96" t="s">
        <v>2</v>
      </c>
      <c r="F6" s="96" t="s">
        <v>3</v>
      </c>
      <c r="G6" s="96" t="s">
        <v>2</v>
      </c>
      <c r="H6" s="96" t="s">
        <v>3</v>
      </c>
      <c r="I6" s="96" t="s">
        <v>2</v>
      </c>
      <c r="J6" s="96" t="s">
        <v>3</v>
      </c>
      <c r="K6" s="31" t="s">
        <v>2</v>
      </c>
      <c r="L6" s="31" t="s">
        <v>3</v>
      </c>
      <c r="M6" s="159"/>
      <c r="N6" s="159"/>
      <c r="O6" s="159"/>
    </row>
    <row r="7" spans="1:15" x14ac:dyDescent="0.25">
      <c r="A7" s="31">
        <v>1</v>
      </c>
      <c r="B7" s="31" t="s">
        <v>153</v>
      </c>
      <c r="C7" s="51"/>
      <c r="D7" s="46"/>
      <c r="E7" s="51"/>
      <c r="F7" s="46"/>
      <c r="G7" s="51"/>
      <c r="H7" s="46"/>
      <c r="I7" s="51">
        <v>77</v>
      </c>
      <c r="J7" s="46">
        <f>ROUND((I7/8696*10000),1)</f>
        <v>88.5</v>
      </c>
      <c r="K7" s="51">
        <v>69</v>
      </c>
      <c r="L7" s="46">
        <f>ROUND((K7/8571*10000),1)</f>
        <v>80.5</v>
      </c>
      <c r="M7" s="18">
        <f>L7/J7*100-100</f>
        <v>-9.0395480225988791</v>
      </c>
      <c r="N7" s="18">
        <f>SUM(D7,F7,H7,J7,L7)/2</f>
        <v>84.5</v>
      </c>
      <c r="O7" s="18">
        <f>L7/N7*100-100</f>
        <v>-4.7337278106508904</v>
      </c>
    </row>
    <row r="8" spans="1:15" x14ac:dyDescent="0.25">
      <c r="A8" s="30">
        <v>2</v>
      </c>
      <c r="B8" s="31" t="s">
        <v>154</v>
      </c>
      <c r="C8" s="50"/>
      <c r="D8" s="46"/>
      <c r="E8" s="50"/>
      <c r="F8" s="46"/>
      <c r="G8" s="50"/>
      <c r="H8" s="46"/>
      <c r="I8" s="50">
        <v>4</v>
      </c>
      <c r="J8" s="46">
        <f>ROUND((I8/8696*10000),1)</f>
        <v>4.5999999999999996</v>
      </c>
      <c r="K8" s="50">
        <v>3</v>
      </c>
      <c r="L8" s="46">
        <f>ROUND((K8/8571*10000),1)</f>
        <v>3.5</v>
      </c>
      <c r="M8" s="18">
        <f>L8/J8*100-100</f>
        <v>-23.91304347826086</v>
      </c>
      <c r="N8" s="18">
        <f>SUM(D8,F8,H8,J8,L8)/2</f>
        <v>4.05</v>
      </c>
      <c r="O8" s="18">
        <f>L8/N8*100-100</f>
        <v>-13.58024691358024</v>
      </c>
    </row>
  </sheetData>
  <mergeCells count="10">
    <mergeCell ref="K4:L5"/>
    <mergeCell ref="M4:M6"/>
    <mergeCell ref="N4:N6"/>
    <mergeCell ref="O4:O6"/>
    <mergeCell ref="A4:A6"/>
    <mergeCell ref="B4:B6"/>
    <mergeCell ref="I4:J5"/>
    <mergeCell ref="C4:D5"/>
    <mergeCell ref="E4:F5"/>
    <mergeCell ref="G4:H5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4"/>
  <sheetViews>
    <sheetView view="pageBreakPreview" zoomScale="130" zoomScaleNormal="100" zoomScaleSheetLayoutView="130" workbookViewId="0">
      <selection activeCell="P2" sqref="P2"/>
    </sheetView>
  </sheetViews>
  <sheetFormatPr defaultRowHeight="15" x14ac:dyDescent="0.25"/>
  <cols>
    <col min="1" max="1" width="29" style="6" customWidth="1"/>
    <col min="2" max="8" width="6.85546875" style="6" customWidth="1"/>
    <col min="9" max="9" width="8.85546875" style="6" customWidth="1"/>
    <col min="10" max="16" width="6.85546875" style="6" customWidth="1"/>
    <col min="17" max="17" width="8.85546875" style="6" customWidth="1"/>
    <col min="18" max="16384" width="9.140625" style="6"/>
  </cols>
  <sheetData>
    <row r="1" spans="1:21" x14ac:dyDescent="0.25">
      <c r="P1" s="10" t="s">
        <v>286</v>
      </c>
    </row>
    <row r="2" spans="1:21" x14ac:dyDescent="0.25">
      <c r="A2" s="16" t="s">
        <v>259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1" ht="40.5" customHeight="1" x14ac:dyDescent="0.25">
      <c r="A3" s="159" t="s">
        <v>55</v>
      </c>
      <c r="B3" s="159" t="s">
        <v>179</v>
      </c>
      <c r="C3" s="159"/>
      <c r="D3" s="159"/>
      <c r="E3" s="159"/>
      <c r="F3" s="159"/>
      <c r="G3" s="159" t="s">
        <v>144</v>
      </c>
      <c r="H3" s="159" t="s">
        <v>109</v>
      </c>
      <c r="I3" s="159" t="s">
        <v>145</v>
      </c>
      <c r="J3" s="159" t="s">
        <v>147</v>
      </c>
      <c r="K3" s="159"/>
      <c r="L3" s="159"/>
      <c r="M3" s="159"/>
      <c r="N3" s="159"/>
      <c r="O3" s="159" t="s">
        <v>144</v>
      </c>
      <c r="P3" s="159" t="s">
        <v>109</v>
      </c>
      <c r="Q3" s="159" t="s">
        <v>145</v>
      </c>
      <c r="R3" s="6">
        <v>2021</v>
      </c>
      <c r="T3" s="6">
        <v>2022</v>
      </c>
    </row>
    <row r="4" spans="1:21" x14ac:dyDescent="0.25">
      <c r="A4" s="159"/>
      <c r="B4" s="30">
        <v>2018</v>
      </c>
      <c r="C4" s="30">
        <v>2019</v>
      </c>
      <c r="D4" s="30">
        <v>2020</v>
      </c>
      <c r="E4" s="30">
        <v>2021</v>
      </c>
      <c r="F4" s="30">
        <v>2022</v>
      </c>
      <c r="G4" s="159"/>
      <c r="H4" s="159"/>
      <c r="I4" s="159"/>
      <c r="J4" s="30">
        <v>2018</v>
      </c>
      <c r="K4" s="30">
        <v>2019</v>
      </c>
      <c r="L4" s="30">
        <v>2020</v>
      </c>
      <c r="M4" s="30">
        <v>2021</v>
      </c>
      <c r="N4" s="30">
        <v>2022</v>
      </c>
      <c r="O4" s="159"/>
      <c r="P4" s="159"/>
      <c r="Q4" s="159"/>
      <c r="R4" s="6" t="s">
        <v>268</v>
      </c>
      <c r="S4" s="6" t="s">
        <v>281</v>
      </c>
      <c r="T4" s="6" t="s">
        <v>268</v>
      </c>
      <c r="U4" s="6" t="s">
        <v>281</v>
      </c>
    </row>
    <row r="5" spans="1:21" x14ac:dyDescent="0.25">
      <c r="A5" s="152" t="s">
        <v>58</v>
      </c>
      <c r="B5" s="127">
        <v>16.5</v>
      </c>
      <c r="C5" s="30">
        <v>15.5</v>
      </c>
      <c r="D5" s="30">
        <v>17.5</v>
      </c>
      <c r="E5" s="46">
        <f>ROUND((R5/1667*1000),1)</f>
        <v>24.6</v>
      </c>
      <c r="F5" s="46">
        <f>ROUND((T5/1605*1000),1)</f>
        <v>27.4</v>
      </c>
      <c r="G5" s="18">
        <f t="shared" ref="G5:G14" si="0">F5/E5*100-100</f>
        <v>11.382113821138205</v>
      </c>
      <c r="H5" s="18">
        <f>ROUND((SUM(B5,C5,D5,E5,F5)/5),1)</f>
        <v>20.3</v>
      </c>
      <c r="I5" s="18">
        <f>F5/H5*100-100</f>
        <v>34.975369458128057</v>
      </c>
      <c r="J5" s="127">
        <v>0.2</v>
      </c>
      <c r="K5" s="30">
        <v>3.9</v>
      </c>
      <c r="L5" s="30">
        <v>3.6</v>
      </c>
      <c r="M5" s="46">
        <f>ROUND((S5/1667*1000),1)</f>
        <v>2.4</v>
      </c>
      <c r="N5" s="46">
        <f>ROUND((U5/1605*1000),1)</f>
        <v>1.9</v>
      </c>
      <c r="O5" s="18">
        <f t="shared" ref="O5:O8" si="1">N5/M5*100-100</f>
        <v>-20.833333333333343</v>
      </c>
      <c r="P5" s="18">
        <f t="shared" ref="P5:P14" si="2">SUM(J5,K5,L5,M5,N5)/5</f>
        <v>2.4</v>
      </c>
      <c r="Q5" s="139">
        <f t="shared" ref="Q5:Q11" si="3">N5/P5*100-100</f>
        <v>-20.833333333333343</v>
      </c>
      <c r="R5" s="6">
        <v>41</v>
      </c>
      <c r="S5" s="6">
        <v>4</v>
      </c>
      <c r="T5" s="6">
        <v>44</v>
      </c>
      <c r="U5" s="6">
        <v>3</v>
      </c>
    </row>
    <row r="6" spans="1:21" ht="30" x14ac:dyDescent="0.25">
      <c r="A6" s="127" t="s">
        <v>75</v>
      </c>
      <c r="B6" s="127">
        <v>1.8</v>
      </c>
      <c r="C6" s="30">
        <v>2.1</v>
      </c>
      <c r="D6" s="30">
        <v>2.2000000000000002</v>
      </c>
      <c r="E6" s="46">
        <f t="shared" ref="E6:E14" si="4">ROUND((R6/1667*1000),1)</f>
        <v>3</v>
      </c>
      <c r="F6" s="46">
        <f t="shared" ref="F6:F14" si="5">ROUND((T6/1605*1000),1)</f>
        <v>3.1</v>
      </c>
      <c r="G6" s="18">
        <f t="shared" si="0"/>
        <v>3.3333333333333428</v>
      </c>
      <c r="H6" s="18">
        <f t="shared" ref="H6:H14" si="6">ROUND((SUM(B6,C6,D6,E6,F6)/5),1)</f>
        <v>2.4</v>
      </c>
      <c r="I6" s="18">
        <f t="shared" ref="I6:I14" si="7">F6/H6*100-100</f>
        <v>29.166666666666686</v>
      </c>
      <c r="J6" s="127">
        <v>0</v>
      </c>
      <c r="K6" s="30">
        <v>0</v>
      </c>
      <c r="L6" s="30">
        <v>0.2</v>
      </c>
      <c r="M6" s="46">
        <f t="shared" ref="M6:M8" si="8">ROUND((S6/1667*1000),1)</f>
        <v>0.6</v>
      </c>
      <c r="N6" s="46">
        <f t="shared" ref="N6:N11" si="9">ROUND((U6/1605*1000),1)</f>
        <v>0</v>
      </c>
      <c r="O6" s="18">
        <f t="shared" si="1"/>
        <v>-100</v>
      </c>
      <c r="P6" s="18">
        <f t="shared" si="2"/>
        <v>0.16</v>
      </c>
      <c r="Q6" s="139">
        <f t="shared" si="3"/>
        <v>-100</v>
      </c>
      <c r="R6" s="6">
        <v>5</v>
      </c>
      <c r="S6" s="6">
        <v>1</v>
      </c>
      <c r="T6" s="6">
        <v>5</v>
      </c>
    </row>
    <row r="7" spans="1:21" x14ac:dyDescent="0.25">
      <c r="A7" s="127" t="s">
        <v>76</v>
      </c>
      <c r="B7" s="127">
        <v>0</v>
      </c>
      <c r="C7" s="30">
        <v>0.7</v>
      </c>
      <c r="D7" s="30">
        <v>0.5</v>
      </c>
      <c r="E7" s="46">
        <f t="shared" si="4"/>
        <v>0</v>
      </c>
      <c r="F7" s="46">
        <f t="shared" si="5"/>
        <v>0</v>
      </c>
      <c r="G7" s="18">
        <v>0</v>
      </c>
      <c r="H7" s="18">
        <f t="shared" si="6"/>
        <v>0.2</v>
      </c>
      <c r="I7" s="18">
        <f t="shared" si="7"/>
        <v>-100</v>
      </c>
      <c r="J7" s="30">
        <v>0</v>
      </c>
      <c r="K7" s="30">
        <v>0</v>
      </c>
      <c r="L7" s="30">
        <v>0.2</v>
      </c>
      <c r="M7" s="46">
        <f t="shared" si="8"/>
        <v>0</v>
      </c>
      <c r="N7" s="46">
        <f t="shared" si="9"/>
        <v>0</v>
      </c>
      <c r="O7" s="18">
        <v>0</v>
      </c>
      <c r="P7" s="19">
        <f t="shared" si="2"/>
        <v>0.04</v>
      </c>
      <c r="Q7" s="139">
        <f t="shared" si="3"/>
        <v>-100</v>
      </c>
    </row>
    <row r="8" spans="1:21" ht="30" x14ac:dyDescent="0.25">
      <c r="A8" s="127" t="s">
        <v>77</v>
      </c>
      <c r="B8" s="127">
        <v>3</v>
      </c>
      <c r="C8" s="30">
        <v>3.9</v>
      </c>
      <c r="D8" s="30">
        <v>5.3</v>
      </c>
      <c r="E8" s="46">
        <f t="shared" si="4"/>
        <v>11.4</v>
      </c>
      <c r="F8" s="46">
        <f t="shared" si="5"/>
        <v>11.8</v>
      </c>
      <c r="G8" s="18">
        <f t="shared" si="0"/>
        <v>3.5087719298245759</v>
      </c>
      <c r="H8" s="18">
        <f t="shared" si="6"/>
        <v>7.1</v>
      </c>
      <c r="I8" s="18">
        <f t="shared" si="7"/>
        <v>66.19718309859158</v>
      </c>
      <c r="J8" s="127">
        <v>0.18</v>
      </c>
      <c r="K8" s="30">
        <v>2.1</v>
      </c>
      <c r="L8" s="30">
        <v>2.2000000000000002</v>
      </c>
      <c r="M8" s="46">
        <f t="shared" si="8"/>
        <v>1.8</v>
      </c>
      <c r="N8" s="46">
        <f t="shared" si="9"/>
        <v>0</v>
      </c>
      <c r="O8" s="18">
        <f t="shared" si="1"/>
        <v>-100</v>
      </c>
      <c r="P8" s="18">
        <f t="shared" si="2"/>
        <v>1.256</v>
      </c>
      <c r="Q8" s="139">
        <f t="shared" si="3"/>
        <v>-100</v>
      </c>
      <c r="R8" s="6">
        <v>19</v>
      </c>
      <c r="S8" s="6">
        <v>3</v>
      </c>
      <c r="T8" s="6">
        <v>19</v>
      </c>
    </row>
    <row r="9" spans="1:21" ht="60" x14ac:dyDescent="0.25">
      <c r="A9" s="127" t="s">
        <v>78</v>
      </c>
      <c r="B9" s="127"/>
      <c r="C9" s="30"/>
      <c r="D9" s="30"/>
      <c r="E9" s="46"/>
      <c r="F9" s="46"/>
      <c r="G9" s="18"/>
      <c r="H9" s="18"/>
      <c r="I9" s="18"/>
      <c r="J9" s="30"/>
      <c r="K9" s="30"/>
      <c r="L9" s="30"/>
      <c r="M9" s="46"/>
      <c r="N9" s="46"/>
      <c r="O9" s="18"/>
      <c r="P9" s="18">
        <f t="shared" si="2"/>
        <v>0</v>
      </c>
      <c r="Q9" s="139"/>
    </row>
    <row r="10" spans="1:21" ht="30" x14ac:dyDescent="0.25">
      <c r="A10" s="127" t="s">
        <v>79</v>
      </c>
      <c r="B10" s="127"/>
      <c r="C10" s="30"/>
      <c r="D10" s="30"/>
      <c r="E10" s="46"/>
      <c r="F10" s="46"/>
      <c r="G10" s="18"/>
      <c r="H10" s="18"/>
      <c r="I10" s="18"/>
      <c r="J10" s="30"/>
      <c r="K10" s="30"/>
      <c r="L10" s="30"/>
      <c r="M10" s="46"/>
      <c r="N10" s="46"/>
      <c r="O10" s="18"/>
      <c r="P10" s="18">
        <f t="shared" si="2"/>
        <v>0</v>
      </c>
      <c r="Q10" s="139"/>
    </row>
    <row r="11" spans="1:21" ht="30" x14ac:dyDescent="0.25">
      <c r="A11" s="127" t="s">
        <v>80</v>
      </c>
      <c r="B11" s="127">
        <v>1.2</v>
      </c>
      <c r="C11" s="30">
        <v>1.7</v>
      </c>
      <c r="D11" s="30">
        <v>1.8</v>
      </c>
      <c r="E11" s="46">
        <f t="shared" si="4"/>
        <v>0</v>
      </c>
      <c r="F11" s="46">
        <f t="shared" si="5"/>
        <v>0</v>
      </c>
      <c r="G11" s="18">
        <v>0</v>
      </c>
      <c r="H11" s="18">
        <f t="shared" si="6"/>
        <v>0.9</v>
      </c>
      <c r="I11" s="18">
        <f t="shared" si="7"/>
        <v>-100</v>
      </c>
      <c r="J11" s="30">
        <v>0</v>
      </c>
      <c r="K11" s="30">
        <v>1.7</v>
      </c>
      <c r="L11" s="30">
        <v>1.1000000000000001</v>
      </c>
      <c r="M11" s="46">
        <v>0</v>
      </c>
      <c r="N11" s="46">
        <f t="shared" si="9"/>
        <v>0</v>
      </c>
      <c r="O11" s="18">
        <v>0</v>
      </c>
      <c r="P11" s="18">
        <f t="shared" si="2"/>
        <v>0.55999999999999994</v>
      </c>
      <c r="Q11" s="139">
        <f t="shared" si="3"/>
        <v>-100</v>
      </c>
    </row>
    <row r="12" spans="1:21" ht="30" x14ac:dyDescent="0.25">
      <c r="A12" s="127" t="s">
        <v>81</v>
      </c>
      <c r="B12" s="127">
        <v>0.2</v>
      </c>
      <c r="C12" s="30">
        <v>0</v>
      </c>
      <c r="D12" s="30">
        <v>0</v>
      </c>
      <c r="E12" s="46">
        <f t="shared" si="4"/>
        <v>0.6</v>
      </c>
      <c r="F12" s="46">
        <f t="shared" si="5"/>
        <v>0.6</v>
      </c>
      <c r="G12" s="18">
        <f t="shared" si="0"/>
        <v>0</v>
      </c>
      <c r="H12" s="18">
        <f t="shared" si="6"/>
        <v>0.3</v>
      </c>
      <c r="I12" s="18" t="s">
        <v>276</v>
      </c>
      <c r="J12" s="30"/>
      <c r="K12" s="30"/>
      <c r="L12" s="30"/>
      <c r="M12" s="46"/>
      <c r="N12" s="46"/>
      <c r="O12" s="18"/>
      <c r="P12" s="18">
        <f t="shared" si="2"/>
        <v>0</v>
      </c>
      <c r="Q12" s="153"/>
      <c r="R12" s="6">
        <v>1</v>
      </c>
      <c r="T12" s="6">
        <v>1</v>
      </c>
    </row>
    <row r="13" spans="1:21" ht="30" x14ac:dyDescent="0.25">
      <c r="A13" s="127" t="s">
        <v>82</v>
      </c>
      <c r="B13" s="127">
        <v>0</v>
      </c>
      <c r="C13" s="30">
        <v>0</v>
      </c>
      <c r="D13" s="30">
        <v>0</v>
      </c>
      <c r="E13" s="46">
        <f t="shared" si="4"/>
        <v>0.6</v>
      </c>
      <c r="F13" s="46">
        <f t="shared" si="5"/>
        <v>0.6</v>
      </c>
      <c r="G13" s="18">
        <f t="shared" si="0"/>
        <v>0</v>
      </c>
      <c r="H13" s="18">
        <f t="shared" si="6"/>
        <v>0.2</v>
      </c>
      <c r="I13" s="18" t="s">
        <v>263</v>
      </c>
      <c r="J13" s="30"/>
      <c r="K13" s="30"/>
      <c r="L13" s="30"/>
      <c r="M13" s="46"/>
      <c r="N13" s="46"/>
      <c r="O13" s="18"/>
      <c r="P13" s="18">
        <f t="shared" si="2"/>
        <v>0</v>
      </c>
      <c r="Q13" s="153"/>
      <c r="R13" s="6">
        <v>1</v>
      </c>
      <c r="T13" s="6">
        <v>1</v>
      </c>
    </row>
    <row r="14" spans="1:21" x14ac:dyDescent="0.25">
      <c r="A14" s="127" t="s">
        <v>83</v>
      </c>
      <c r="B14" s="127">
        <v>0.5</v>
      </c>
      <c r="C14" s="30">
        <v>0.9</v>
      </c>
      <c r="D14" s="30">
        <v>0.9</v>
      </c>
      <c r="E14" s="46">
        <f t="shared" si="4"/>
        <v>1.2</v>
      </c>
      <c r="F14" s="46">
        <f t="shared" si="5"/>
        <v>1.2</v>
      </c>
      <c r="G14" s="18">
        <f t="shared" si="0"/>
        <v>0</v>
      </c>
      <c r="H14" s="18">
        <f t="shared" si="6"/>
        <v>0.9</v>
      </c>
      <c r="I14" s="18">
        <f t="shared" si="7"/>
        <v>33.333333333333314</v>
      </c>
      <c r="J14" s="127"/>
      <c r="K14" s="30"/>
      <c r="L14" s="30"/>
      <c r="M14" s="46"/>
      <c r="N14" s="46"/>
      <c r="O14" s="18"/>
      <c r="P14" s="18">
        <f t="shared" si="2"/>
        <v>0</v>
      </c>
      <c r="Q14" s="153"/>
      <c r="R14" s="6">
        <v>2</v>
      </c>
      <c r="T14" s="6">
        <v>2</v>
      </c>
    </row>
  </sheetData>
  <mergeCells count="9">
    <mergeCell ref="Q3:Q4"/>
    <mergeCell ref="P3:P4"/>
    <mergeCell ref="A3:A4"/>
    <mergeCell ref="B3:F3"/>
    <mergeCell ref="G3:G4"/>
    <mergeCell ref="H3:H4"/>
    <mergeCell ref="J3:N3"/>
    <mergeCell ref="O3:O4"/>
    <mergeCell ref="I3:I4"/>
  </mergeCells>
  <pageMargins left="0.7" right="0.7" top="0.75" bottom="0.75" header="0.3" footer="0.3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"/>
  <sheetViews>
    <sheetView view="pageBreakPreview" zoomScale="130" zoomScaleNormal="100" zoomScaleSheetLayoutView="130" workbookViewId="0">
      <selection activeCell="C8" sqref="C8"/>
    </sheetView>
  </sheetViews>
  <sheetFormatPr defaultRowHeight="15" x14ac:dyDescent="0.25"/>
  <cols>
    <col min="1" max="1" width="28.140625" customWidth="1"/>
    <col min="2" max="6" width="5.140625" customWidth="1"/>
    <col min="7" max="7" width="7.42578125" customWidth="1"/>
    <col min="8" max="8" width="5.42578125" customWidth="1"/>
    <col min="9" max="9" width="7.42578125" customWidth="1"/>
    <col min="10" max="14" width="5.7109375" customWidth="1"/>
    <col min="15" max="15" width="7.42578125" customWidth="1"/>
    <col min="16" max="16" width="5.28515625" customWidth="1"/>
    <col min="17" max="17" width="7.42578125" customWidth="1"/>
  </cols>
  <sheetData>
    <row r="1" spans="1:21" s="2" customFormat="1" ht="12.75" x14ac:dyDescent="0.2">
      <c r="P1" s="22" t="s">
        <v>285</v>
      </c>
    </row>
    <row r="2" spans="1:21" s="2" customFormat="1" ht="12.75" x14ac:dyDescent="0.2">
      <c r="A2" s="39" t="s">
        <v>260</v>
      </c>
      <c r="B2" s="40"/>
      <c r="C2" s="40"/>
      <c r="D2" s="40"/>
      <c r="E2" s="40"/>
      <c r="F2" s="40"/>
      <c r="G2" s="40"/>
      <c r="H2" s="40"/>
      <c r="J2" s="40"/>
      <c r="K2" s="40"/>
      <c r="L2" s="40"/>
      <c r="M2" s="40"/>
      <c r="N2" s="40"/>
      <c r="O2" s="40"/>
      <c r="P2" s="40"/>
    </row>
    <row r="3" spans="1:21" s="2" customFormat="1" ht="31.15" customHeight="1" x14ac:dyDescent="0.25">
      <c r="A3" s="166" t="s">
        <v>55</v>
      </c>
      <c r="B3" s="166" t="s">
        <v>56</v>
      </c>
      <c r="C3" s="166"/>
      <c r="D3" s="166"/>
      <c r="E3" s="166"/>
      <c r="F3" s="166"/>
      <c r="G3" s="166" t="s">
        <v>57</v>
      </c>
      <c r="H3" s="166" t="s">
        <v>109</v>
      </c>
      <c r="I3" s="167" t="s">
        <v>145</v>
      </c>
      <c r="J3" s="166" t="s">
        <v>147</v>
      </c>
      <c r="K3" s="166"/>
      <c r="L3" s="166"/>
      <c r="M3" s="166"/>
      <c r="N3" s="166"/>
      <c r="O3" s="166" t="s">
        <v>57</v>
      </c>
      <c r="P3" s="166" t="s">
        <v>109</v>
      </c>
      <c r="Q3" s="167" t="s">
        <v>145</v>
      </c>
      <c r="R3" s="6">
        <v>2021</v>
      </c>
      <c r="S3" s="6"/>
      <c r="T3" s="6">
        <v>2022</v>
      </c>
      <c r="U3" s="6"/>
    </row>
    <row r="4" spans="1:21" s="2" customFormat="1" ht="30" customHeight="1" x14ac:dyDescent="0.25">
      <c r="A4" s="166"/>
      <c r="B4" s="133">
        <v>2018</v>
      </c>
      <c r="C4" s="134">
        <v>2019</v>
      </c>
      <c r="D4" s="134">
        <v>2020</v>
      </c>
      <c r="E4" s="134">
        <v>2021</v>
      </c>
      <c r="F4" s="134">
        <v>2022</v>
      </c>
      <c r="G4" s="166"/>
      <c r="H4" s="166"/>
      <c r="I4" s="167"/>
      <c r="J4" s="133">
        <v>2018</v>
      </c>
      <c r="K4" s="134">
        <v>2019</v>
      </c>
      <c r="L4" s="134">
        <v>2020</v>
      </c>
      <c r="M4" s="134">
        <v>2021</v>
      </c>
      <c r="N4" s="134">
        <v>2022</v>
      </c>
      <c r="O4" s="166"/>
      <c r="P4" s="166"/>
      <c r="Q4" s="167"/>
      <c r="R4" s="6" t="s">
        <v>268</v>
      </c>
      <c r="S4" s="6" t="s">
        <v>281</v>
      </c>
      <c r="T4" s="6" t="s">
        <v>268</v>
      </c>
      <c r="U4" s="6" t="s">
        <v>281</v>
      </c>
    </row>
    <row r="5" spans="1:21" s="2" customFormat="1" ht="38.25" x14ac:dyDescent="0.2">
      <c r="A5" s="154" t="s">
        <v>74</v>
      </c>
      <c r="B5" s="133">
        <v>6.6</v>
      </c>
      <c r="C5" s="134">
        <v>18.2</v>
      </c>
      <c r="D5" s="134">
        <v>13.5</v>
      </c>
      <c r="E5" s="136">
        <f>ROUND((R5/300*1000),1)</f>
        <v>63.3</v>
      </c>
      <c r="F5" s="136">
        <f>ROUND((T5/302*1000),1)</f>
        <v>43</v>
      </c>
      <c r="G5" s="121">
        <f t="shared" ref="G5:G12" si="0">F5/E5*100-100</f>
        <v>-32.069510268562397</v>
      </c>
      <c r="H5" s="121">
        <f>ROUND((SUM(B5,C5,D5,E5,F5)/5),1)</f>
        <v>28.9</v>
      </c>
      <c r="I5" s="140">
        <f>F5/H5*100-100</f>
        <v>48.788927335640153</v>
      </c>
      <c r="J5" s="134"/>
      <c r="K5" s="134">
        <v>8.5</v>
      </c>
      <c r="L5" s="134">
        <v>3.8</v>
      </c>
      <c r="M5" s="134">
        <v>0</v>
      </c>
      <c r="N5" s="134">
        <v>0</v>
      </c>
      <c r="O5" s="121">
        <v>0</v>
      </c>
      <c r="P5" s="121">
        <f t="shared" ref="P5:P7" si="1">SUM(J5,K5,L5,M5,N5)/5</f>
        <v>2.46</v>
      </c>
      <c r="Q5" s="155">
        <f t="shared" ref="Q5:Q7" si="2">N5/P5*100-100</f>
        <v>-100</v>
      </c>
      <c r="R5" s="2">
        <v>19</v>
      </c>
      <c r="S5" s="2">
        <v>0</v>
      </c>
      <c r="T5" s="2">
        <v>13</v>
      </c>
      <c r="U5" s="2">
        <v>0</v>
      </c>
    </row>
    <row r="6" spans="1:21" s="2" customFormat="1" ht="25.5" x14ac:dyDescent="0.2">
      <c r="A6" s="156" t="s">
        <v>75</v>
      </c>
      <c r="B6" s="133"/>
      <c r="C6" s="134">
        <v>2.1</v>
      </c>
      <c r="D6" s="134">
        <v>2.9</v>
      </c>
      <c r="E6" s="136">
        <f t="shared" ref="E6:E12" si="3">ROUND((R6/300*1000),1)</f>
        <v>0</v>
      </c>
      <c r="F6" s="136">
        <f t="shared" ref="F6:F12" si="4">ROUND((T6/302*1000),1)</f>
        <v>0</v>
      </c>
      <c r="G6" s="121">
        <v>0</v>
      </c>
      <c r="H6" s="121">
        <f t="shared" ref="H6:H12" si="5">ROUND((SUM(B6,C6,D6,E6,F6)/5),1)</f>
        <v>1</v>
      </c>
      <c r="I6" s="140">
        <f t="shared" ref="I6" si="6">F6/H6*100-100</f>
        <v>-100</v>
      </c>
      <c r="J6" s="134"/>
      <c r="K6" s="134"/>
      <c r="L6" s="134">
        <v>0.9</v>
      </c>
      <c r="M6" s="134">
        <v>0</v>
      </c>
      <c r="N6" s="134">
        <v>0</v>
      </c>
      <c r="O6" s="121">
        <v>0</v>
      </c>
      <c r="P6" s="121">
        <f t="shared" si="1"/>
        <v>0.18</v>
      </c>
      <c r="Q6" s="155">
        <f t="shared" si="2"/>
        <v>-100</v>
      </c>
    </row>
    <row r="7" spans="1:21" s="2" customFormat="1" ht="25.5" x14ac:dyDescent="0.2">
      <c r="A7" s="156" t="s">
        <v>77</v>
      </c>
      <c r="B7" s="133"/>
      <c r="C7" s="134">
        <v>4.3</v>
      </c>
      <c r="D7" s="134">
        <v>8.6999999999999993</v>
      </c>
      <c r="E7" s="136">
        <f t="shared" si="3"/>
        <v>30</v>
      </c>
      <c r="F7" s="136">
        <f t="shared" si="4"/>
        <v>29.8</v>
      </c>
      <c r="G7" s="121">
        <f t="shared" si="0"/>
        <v>-0.66666666666665719</v>
      </c>
      <c r="H7" s="121">
        <f t="shared" si="5"/>
        <v>14.6</v>
      </c>
      <c r="I7" s="157" t="s">
        <v>276</v>
      </c>
      <c r="J7" s="134"/>
      <c r="K7" s="134">
        <v>1</v>
      </c>
      <c r="L7" s="134">
        <v>1.9</v>
      </c>
      <c r="M7" s="134">
        <v>0</v>
      </c>
      <c r="N7" s="134">
        <v>0</v>
      </c>
      <c r="O7" s="121">
        <v>0</v>
      </c>
      <c r="P7" s="121">
        <f t="shared" si="1"/>
        <v>0.57999999999999996</v>
      </c>
      <c r="Q7" s="155">
        <f t="shared" si="2"/>
        <v>-100</v>
      </c>
      <c r="R7" s="2">
        <v>9</v>
      </c>
      <c r="T7" s="2">
        <v>9</v>
      </c>
    </row>
    <row r="8" spans="1:21" s="2" customFormat="1" ht="51" x14ac:dyDescent="0.2">
      <c r="A8" s="156" t="s">
        <v>78</v>
      </c>
      <c r="B8" s="133"/>
      <c r="C8" s="134"/>
      <c r="D8" s="134"/>
      <c r="E8" s="136"/>
      <c r="F8" s="136"/>
      <c r="G8" s="121"/>
      <c r="H8" s="121"/>
      <c r="I8" s="155"/>
      <c r="J8" s="134"/>
      <c r="K8" s="134"/>
      <c r="L8" s="134"/>
      <c r="M8" s="134"/>
      <c r="N8" s="134"/>
      <c r="O8" s="121"/>
      <c r="P8" s="121"/>
      <c r="Q8" s="155"/>
    </row>
    <row r="9" spans="1:21" s="2" customFormat="1" ht="25.5" x14ac:dyDescent="0.2">
      <c r="A9" s="156" t="s">
        <v>79</v>
      </c>
      <c r="B9" s="133"/>
      <c r="C9" s="134"/>
      <c r="D9" s="134"/>
      <c r="E9" s="136"/>
      <c r="F9" s="136"/>
      <c r="G9" s="121"/>
      <c r="H9" s="121"/>
      <c r="I9" s="155"/>
      <c r="J9" s="134"/>
      <c r="K9" s="134"/>
      <c r="L9" s="134"/>
      <c r="M9" s="134"/>
      <c r="N9" s="134"/>
      <c r="O9" s="121"/>
      <c r="P9" s="121"/>
      <c r="Q9" s="155"/>
    </row>
    <row r="10" spans="1:21" s="2" customFormat="1" ht="25.5" x14ac:dyDescent="0.2">
      <c r="A10" s="156" t="s">
        <v>81</v>
      </c>
      <c r="B10" s="133"/>
      <c r="C10" s="134"/>
      <c r="D10" s="134"/>
      <c r="E10" s="136">
        <f t="shared" si="3"/>
        <v>3.3</v>
      </c>
      <c r="F10" s="136">
        <f t="shared" si="4"/>
        <v>3.3</v>
      </c>
      <c r="G10" s="121">
        <f t="shared" si="0"/>
        <v>0</v>
      </c>
      <c r="H10" s="121">
        <f t="shared" si="5"/>
        <v>1.3</v>
      </c>
      <c r="I10" s="157" t="s">
        <v>282</v>
      </c>
      <c r="J10" s="134"/>
      <c r="K10" s="134"/>
      <c r="L10" s="134"/>
      <c r="M10" s="134"/>
      <c r="N10" s="134"/>
      <c r="O10" s="121"/>
      <c r="P10" s="121"/>
      <c r="Q10" s="155"/>
      <c r="R10" s="2">
        <v>1</v>
      </c>
      <c r="T10" s="2">
        <v>1</v>
      </c>
    </row>
    <row r="11" spans="1:21" s="2" customFormat="1" ht="25.5" x14ac:dyDescent="0.2">
      <c r="A11" s="156" t="s">
        <v>82</v>
      </c>
      <c r="B11" s="133"/>
      <c r="C11" s="134"/>
      <c r="D11" s="134"/>
      <c r="E11" s="136">
        <f t="shared" si="3"/>
        <v>3.3</v>
      </c>
      <c r="F11" s="136">
        <f t="shared" si="4"/>
        <v>3.3</v>
      </c>
      <c r="G11" s="121">
        <f t="shared" si="0"/>
        <v>0</v>
      </c>
      <c r="H11" s="121">
        <f t="shared" si="5"/>
        <v>1.3</v>
      </c>
      <c r="I11" s="157" t="s">
        <v>282</v>
      </c>
      <c r="J11" s="134"/>
      <c r="K11" s="134"/>
      <c r="L11" s="134"/>
      <c r="M11" s="134"/>
      <c r="N11" s="134"/>
      <c r="O11" s="121"/>
      <c r="P11" s="121"/>
      <c r="Q11" s="155"/>
      <c r="R11" s="2">
        <v>1</v>
      </c>
      <c r="T11" s="2">
        <v>1</v>
      </c>
    </row>
    <row r="12" spans="1:21" s="2" customFormat="1" ht="25.5" x14ac:dyDescent="0.2">
      <c r="A12" s="156" t="s">
        <v>83</v>
      </c>
      <c r="B12" s="133"/>
      <c r="C12" s="134">
        <v>1</v>
      </c>
      <c r="D12" s="134"/>
      <c r="E12" s="136">
        <f t="shared" si="3"/>
        <v>6.7</v>
      </c>
      <c r="F12" s="136">
        <f t="shared" si="4"/>
        <v>6.6</v>
      </c>
      <c r="G12" s="121">
        <f t="shared" si="0"/>
        <v>-1.4925373134328339</v>
      </c>
      <c r="H12" s="121">
        <f t="shared" si="5"/>
        <v>2.9</v>
      </c>
      <c r="I12" s="157" t="s">
        <v>283</v>
      </c>
      <c r="J12" s="134"/>
      <c r="K12" s="134"/>
      <c r="L12" s="134"/>
      <c r="M12" s="134"/>
      <c r="N12" s="134"/>
      <c r="O12" s="121"/>
      <c r="P12" s="121"/>
      <c r="Q12" s="155"/>
      <c r="R12" s="2">
        <v>2</v>
      </c>
      <c r="T12" s="2">
        <v>2</v>
      </c>
    </row>
  </sheetData>
  <mergeCells count="9">
    <mergeCell ref="P3:P4"/>
    <mergeCell ref="Q3:Q4"/>
    <mergeCell ref="A3:A4"/>
    <mergeCell ref="B3:F3"/>
    <mergeCell ref="G3:G4"/>
    <mergeCell ref="H3:H4"/>
    <mergeCell ref="J3:N3"/>
    <mergeCell ref="O3:O4"/>
    <mergeCell ref="I3:I4"/>
  </mergeCells>
  <pageMargins left="0.7" right="0.7" top="0.75" bottom="0.7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"/>
  <sheetViews>
    <sheetView view="pageBreakPreview" zoomScale="140" zoomScaleNormal="100" zoomScaleSheetLayoutView="140" workbookViewId="0">
      <selection activeCell="G7" sqref="G7"/>
    </sheetView>
  </sheetViews>
  <sheetFormatPr defaultRowHeight="15" x14ac:dyDescent="0.25"/>
  <cols>
    <col min="1" max="1" width="28.140625" customWidth="1"/>
    <col min="2" max="6" width="4.5703125" customWidth="1"/>
    <col min="8" max="8" width="5.5703125" customWidth="1"/>
    <col min="10" max="14" width="5" customWidth="1"/>
    <col min="16" max="16" width="5.85546875" customWidth="1"/>
  </cols>
  <sheetData>
    <row r="1" spans="1:21" s="2" customFormat="1" ht="12.75" x14ac:dyDescent="0.2">
      <c r="P1" s="22" t="s">
        <v>284</v>
      </c>
    </row>
    <row r="2" spans="1:21" s="2" customFormat="1" ht="12.75" x14ac:dyDescent="0.2">
      <c r="A2" s="39" t="s">
        <v>261</v>
      </c>
      <c r="B2" s="40"/>
      <c r="C2" s="40"/>
      <c r="D2" s="40"/>
      <c r="E2" s="40"/>
      <c r="F2" s="40"/>
      <c r="G2" s="40"/>
      <c r="H2" s="40"/>
      <c r="J2" s="40"/>
      <c r="K2" s="40"/>
      <c r="L2" s="40"/>
      <c r="M2" s="40"/>
      <c r="N2" s="40"/>
      <c r="O2" s="40"/>
      <c r="P2" s="40"/>
    </row>
    <row r="3" spans="1:21" s="2" customFormat="1" ht="37.5" customHeight="1" x14ac:dyDescent="0.25">
      <c r="A3" s="166" t="s">
        <v>55</v>
      </c>
      <c r="B3" s="166" t="s">
        <v>56</v>
      </c>
      <c r="C3" s="166"/>
      <c r="D3" s="166"/>
      <c r="E3" s="166"/>
      <c r="F3" s="166"/>
      <c r="G3" s="166" t="s">
        <v>57</v>
      </c>
      <c r="H3" s="166" t="s">
        <v>109</v>
      </c>
      <c r="I3" s="166" t="s">
        <v>145</v>
      </c>
      <c r="J3" s="166" t="s">
        <v>147</v>
      </c>
      <c r="K3" s="166"/>
      <c r="L3" s="166"/>
      <c r="M3" s="166"/>
      <c r="N3" s="166"/>
      <c r="O3" s="166" t="s">
        <v>57</v>
      </c>
      <c r="P3" s="166" t="s">
        <v>109</v>
      </c>
      <c r="Q3" s="166" t="s">
        <v>145</v>
      </c>
      <c r="R3" s="6">
        <v>2021</v>
      </c>
      <c r="S3" s="6"/>
      <c r="T3" s="6">
        <v>2022</v>
      </c>
      <c r="U3" s="6"/>
    </row>
    <row r="4" spans="1:21" s="2" customFormat="1" ht="15" customHeight="1" x14ac:dyDescent="0.25">
      <c r="A4" s="166"/>
      <c r="B4" s="133">
        <v>2018</v>
      </c>
      <c r="C4" s="134">
        <v>2019</v>
      </c>
      <c r="D4" s="134">
        <v>2020</v>
      </c>
      <c r="E4" s="134">
        <v>2021</v>
      </c>
      <c r="F4" s="134">
        <v>2022</v>
      </c>
      <c r="G4" s="166"/>
      <c r="H4" s="166"/>
      <c r="I4" s="166"/>
      <c r="J4" s="133">
        <v>2018</v>
      </c>
      <c r="K4" s="134">
        <v>2019</v>
      </c>
      <c r="L4" s="134">
        <v>2020</v>
      </c>
      <c r="M4" s="134">
        <v>2021</v>
      </c>
      <c r="N4" s="134">
        <v>2022</v>
      </c>
      <c r="O4" s="166"/>
      <c r="P4" s="166"/>
      <c r="Q4" s="166"/>
      <c r="R4" s="6" t="s">
        <v>268</v>
      </c>
      <c r="S4" s="6" t="s">
        <v>281</v>
      </c>
      <c r="T4" s="6" t="s">
        <v>268</v>
      </c>
      <c r="U4" s="6" t="s">
        <v>281</v>
      </c>
    </row>
    <row r="5" spans="1:21" s="2" customFormat="1" ht="38.25" x14ac:dyDescent="0.2">
      <c r="A5" s="158" t="s">
        <v>74</v>
      </c>
      <c r="B5" s="133">
        <v>6.6</v>
      </c>
      <c r="C5" s="134">
        <v>18.2</v>
      </c>
      <c r="D5" s="134">
        <v>13.5</v>
      </c>
      <c r="E5" s="136">
        <f>ROUND((R5/6729*1000),1)</f>
        <v>2.5</v>
      </c>
      <c r="F5" s="136">
        <f>ROUND((T5/6664*1000),1)</f>
        <v>1.8</v>
      </c>
      <c r="G5" s="121">
        <f t="shared" ref="G5:G7" si="0">F5/E5*100-100</f>
        <v>-28</v>
      </c>
      <c r="H5" s="121">
        <f>ROUND((SUM(B5,C5,D5,E5,F5)/5),1)</f>
        <v>8.5</v>
      </c>
      <c r="I5" s="140">
        <f>F5/H5*100-100</f>
        <v>-78.82352941176471</v>
      </c>
      <c r="J5" s="134"/>
      <c r="K5" s="134">
        <v>8.5</v>
      </c>
      <c r="L5" s="134">
        <v>3.8</v>
      </c>
      <c r="M5" s="134">
        <v>0</v>
      </c>
      <c r="N5" s="134">
        <v>0</v>
      </c>
      <c r="O5" s="121">
        <v>100</v>
      </c>
      <c r="P5" s="121">
        <f>SUM(J5,K5,L5,M5,N5)/5</f>
        <v>2.46</v>
      </c>
      <c r="Q5" s="155">
        <f t="shared" ref="Q5:Q7" si="1">N5/P5*100-100</f>
        <v>-100</v>
      </c>
      <c r="R5" s="2">
        <v>17</v>
      </c>
      <c r="T5" s="2">
        <v>12</v>
      </c>
    </row>
    <row r="6" spans="1:21" s="2" customFormat="1" ht="25.5" x14ac:dyDescent="0.2">
      <c r="A6" s="133" t="s">
        <v>75</v>
      </c>
      <c r="B6" s="133"/>
      <c r="C6" s="134">
        <v>2.1</v>
      </c>
      <c r="D6" s="134">
        <v>2.9</v>
      </c>
      <c r="E6" s="136">
        <f t="shared" ref="E6:E7" si="2">ROUND((R6/6729*1000),1)</f>
        <v>0</v>
      </c>
      <c r="F6" s="136">
        <f t="shared" ref="F6:F7" si="3">ROUND((T6/6664*1000),1)</f>
        <v>0.3</v>
      </c>
      <c r="G6" s="121">
        <v>100</v>
      </c>
      <c r="H6" s="121">
        <f t="shared" ref="H6:H12" si="4">ROUND((SUM(B6,C6,D6,E6,F6)/5),1)</f>
        <v>1.1000000000000001</v>
      </c>
      <c r="I6" s="140">
        <f t="shared" ref="I6:I12" si="5">F6/H6*100-100</f>
        <v>-72.727272727272734</v>
      </c>
      <c r="J6" s="134"/>
      <c r="K6" s="134"/>
      <c r="L6" s="134">
        <v>0.9</v>
      </c>
      <c r="M6" s="134"/>
      <c r="N6" s="134"/>
      <c r="O6" s="121"/>
      <c r="P6" s="121">
        <f t="shared" ref="P6:P12" si="6">SUM(J6,K6,L6,M6,N6)/5</f>
        <v>0.18</v>
      </c>
      <c r="Q6" s="155">
        <f t="shared" si="1"/>
        <v>-100</v>
      </c>
      <c r="T6" s="2">
        <v>2</v>
      </c>
    </row>
    <row r="7" spans="1:21" s="2" customFormat="1" ht="25.5" x14ac:dyDescent="0.2">
      <c r="A7" s="133" t="s">
        <v>77</v>
      </c>
      <c r="B7" s="133"/>
      <c r="C7" s="134">
        <v>4.3</v>
      </c>
      <c r="D7" s="134">
        <v>8.6999999999999993</v>
      </c>
      <c r="E7" s="136">
        <f t="shared" si="2"/>
        <v>1.5</v>
      </c>
      <c r="F7" s="136">
        <f t="shared" si="3"/>
        <v>1.5</v>
      </c>
      <c r="G7" s="121">
        <f t="shared" si="0"/>
        <v>0</v>
      </c>
      <c r="H7" s="121">
        <f t="shared" si="4"/>
        <v>3.2</v>
      </c>
      <c r="I7" s="140">
        <f t="shared" si="5"/>
        <v>-53.125</v>
      </c>
      <c r="J7" s="134"/>
      <c r="K7" s="134">
        <v>1</v>
      </c>
      <c r="L7" s="134">
        <v>1.9</v>
      </c>
      <c r="M7" s="134"/>
      <c r="N7" s="134"/>
      <c r="O7" s="121">
        <v>100</v>
      </c>
      <c r="P7" s="121">
        <f t="shared" si="6"/>
        <v>0.57999999999999996</v>
      </c>
      <c r="Q7" s="155">
        <f t="shared" si="1"/>
        <v>-100</v>
      </c>
      <c r="R7" s="2">
        <v>10</v>
      </c>
      <c r="T7" s="2">
        <v>10</v>
      </c>
    </row>
    <row r="8" spans="1:21" s="2" customFormat="1" ht="51" x14ac:dyDescent="0.2">
      <c r="A8" s="133" t="s">
        <v>78</v>
      </c>
      <c r="B8" s="133"/>
      <c r="C8" s="134"/>
      <c r="D8" s="134"/>
      <c r="E8" s="134"/>
      <c r="F8" s="134"/>
      <c r="G8" s="121"/>
      <c r="H8" s="121">
        <f t="shared" si="4"/>
        <v>0</v>
      </c>
      <c r="I8" s="140"/>
      <c r="J8" s="134"/>
      <c r="K8" s="134"/>
      <c r="L8" s="134"/>
      <c r="M8" s="134"/>
      <c r="N8" s="134"/>
      <c r="O8" s="121"/>
      <c r="P8" s="121">
        <f t="shared" si="6"/>
        <v>0</v>
      </c>
      <c r="Q8" s="155"/>
    </row>
    <row r="9" spans="1:21" s="2" customFormat="1" ht="25.5" x14ac:dyDescent="0.2">
      <c r="A9" s="133" t="s">
        <v>79</v>
      </c>
      <c r="B9" s="133"/>
      <c r="C9" s="134"/>
      <c r="D9" s="134"/>
      <c r="E9" s="134"/>
      <c r="F9" s="134"/>
      <c r="G9" s="121"/>
      <c r="H9" s="121">
        <f t="shared" si="4"/>
        <v>0</v>
      </c>
      <c r="I9" s="140"/>
      <c r="J9" s="134"/>
      <c r="K9" s="134"/>
      <c r="L9" s="134"/>
      <c r="M9" s="134"/>
      <c r="N9" s="134"/>
      <c r="O9" s="121"/>
      <c r="P9" s="121">
        <f t="shared" si="6"/>
        <v>0</v>
      </c>
      <c r="Q9" s="155"/>
    </row>
    <row r="10" spans="1:21" s="2" customFormat="1" ht="12.75" x14ac:dyDescent="0.2">
      <c r="A10" s="133" t="s">
        <v>81</v>
      </c>
      <c r="B10" s="133"/>
      <c r="C10" s="134"/>
      <c r="D10" s="134"/>
      <c r="E10" s="134"/>
      <c r="F10" s="134"/>
      <c r="G10" s="121"/>
      <c r="H10" s="121">
        <f t="shared" si="4"/>
        <v>0</v>
      </c>
      <c r="I10" s="140"/>
      <c r="J10" s="134"/>
      <c r="K10" s="134"/>
      <c r="L10" s="134"/>
      <c r="M10" s="134"/>
      <c r="N10" s="134"/>
      <c r="O10" s="121"/>
      <c r="P10" s="121">
        <f t="shared" si="6"/>
        <v>0</v>
      </c>
      <c r="Q10" s="155"/>
    </row>
    <row r="11" spans="1:21" s="2" customFormat="1" ht="12.75" x14ac:dyDescent="0.2">
      <c r="A11" s="133" t="s">
        <v>82</v>
      </c>
      <c r="B11" s="133"/>
      <c r="C11" s="134"/>
      <c r="D11" s="134"/>
      <c r="E11" s="134"/>
      <c r="F11" s="134"/>
      <c r="G11" s="121"/>
      <c r="H11" s="121">
        <f t="shared" si="4"/>
        <v>0</v>
      </c>
      <c r="I11" s="140"/>
      <c r="J11" s="134"/>
      <c r="K11" s="134"/>
      <c r="L11" s="134"/>
      <c r="M11" s="134"/>
      <c r="N11" s="134"/>
      <c r="O11" s="121"/>
      <c r="P11" s="121">
        <f t="shared" si="6"/>
        <v>0</v>
      </c>
      <c r="Q11" s="155"/>
    </row>
    <row r="12" spans="1:21" s="2" customFormat="1" ht="12.75" x14ac:dyDescent="0.2">
      <c r="A12" s="133" t="s">
        <v>83</v>
      </c>
      <c r="B12" s="133"/>
      <c r="C12" s="134">
        <v>1</v>
      </c>
      <c r="D12" s="134"/>
      <c r="E12" s="134"/>
      <c r="F12" s="134"/>
      <c r="G12" s="121"/>
      <c r="H12" s="121">
        <f t="shared" si="4"/>
        <v>0.2</v>
      </c>
      <c r="I12" s="140">
        <f t="shared" si="5"/>
        <v>-100</v>
      </c>
      <c r="J12" s="134"/>
      <c r="K12" s="134"/>
      <c r="L12" s="134"/>
      <c r="M12" s="134"/>
      <c r="N12" s="134"/>
      <c r="O12" s="121"/>
      <c r="P12" s="121">
        <f t="shared" si="6"/>
        <v>0</v>
      </c>
      <c r="Q12" s="155"/>
    </row>
  </sheetData>
  <mergeCells count="9">
    <mergeCell ref="P3:P4"/>
    <mergeCell ref="Q3:Q4"/>
    <mergeCell ref="A3:A4"/>
    <mergeCell ref="B3:F3"/>
    <mergeCell ref="G3:G4"/>
    <mergeCell ref="H3:H4"/>
    <mergeCell ref="J3:N3"/>
    <mergeCell ref="O3:O4"/>
    <mergeCell ref="I3:I4"/>
  </mergeCells>
  <pageMargins left="0.7" right="0.7" top="0.75" bottom="0.7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3"/>
  <sheetViews>
    <sheetView view="pageBreakPreview" topLeftCell="B1" zoomScale="130" zoomScaleNormal="90" zoomScaleSheetLayoutView="130" workbookViewId="0">
      <selection activeCell="I13" sqref="I13"/>
    </sheetView>
  </sheetViews>
  <sheetFormatPr defaultRowHeight="15" x14ac:dyDescent="0.25"/>
  <cols>
    <col min="1" max="1" width="4.7109375" customWidth="1"/>
    <col min="2" max="2" width="31.140625" customWidth="1"/>
    <col min="3" max="6" width="7.42578125" customWidth="1"/>
    <col min="7" max="7" width="8.28515625" customWidth="1"/>
    <col min="8" max="8" width="9" customWidth="1"/>
    <col min="9" max="12" width="7.42578125" customWidth="1"/>
    <col min="13" max="15" width="9" customWidth="1"/>
  </cols>
  <sheetData>
    <row r="1" spans="1:15" x14ac:dyDescent="0.25">
      <c r="O1" s="10" t="s">
        <v>171</v>
      </c>
    </row>
    <row r="2" spans="1:15" x14ac:dyDescent="0.25">
      <c r="A2" s="3"/>
    </row>
    <row r="3" spans="1:15" x14ac:dyDescent="0.25">
      <c r="A3" s="16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4"/>
    </row>
    <row r="5" spans="1:15" ht="30" customHeight="1" x14ac:dyDescent="0.25">
      <c r="A5" s="159" t="s">
        <v>0</v>
      </c>
      <c r="B5" s="159" t="s">
        <v>1</v>
      </c>
      <c r="C5" s="159">
        <v>2018</v>
      </c>
      <c r="D5" s="159"/>
      <c r="E5" s="159">
        <v>2019</v>
      </c>
      <c r="F5" s="159"/>
      <c r="G5" s="159">
        <v>2020</v>
      </c>
      <c r="H5" s="159"/>
      <c r="I5" s="159">
        <v>2021</v>
      </c>
      <c r="J5" s="159"/>
      <c r="K5" s="159">
        <v>2022</v>
      </c>
      <c r="L5" s="159"/>
      <c r="M5" s="159" t="s">
        <v>144</v>
      </c>
      <c r="N5" s="159" t="s">
        <v>109</v>
      </c>
      <c r="O5" s="159" t="s">
        <v>145</v>
      </c>
    </row>
    <row r="6" spans="1:15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x14ac:dyDescent="0.25">
      <c r="A7" s="159"/>
      <c r="B7" s="172"/>
      <c r="C7" s="97" t="s">
        <v>2</v>
      </c>
      <c r="D7" s="97" t="s">
        <v>151</v>
      </c>
      <c r="E7" s="97" t="s">
        <v>2</v>
      </c>
      <c r="F7" s="97" t="s">
        <v>151</v>
      </c>
      <c r="G7" s="97" t="s">
        <v>2</v>
      </c>
      <c r="H7" s="97" t="s">
        <v>151</v>
      </c>
      <c r="I7" s="97" t="s">
        <v>2</v>
      </c>
      <c r="J7" s="97" t="s">
        <v>151</v>
      </c>
      <c r="K7" s="64" t="s">
        <v>2</v>
      </c>
      <c r="L7" s="64" t="s">
        <v>151</v>
      </c>
      <c r="M7" s="172"/>
      <c r="N7" s="172"/>
      <c r="O7" s="172"/>
    </row>
    <row r="8" spans="1:15" ht="30" x14ac:dyDescent="0.25">
      <c r="A8" s="65">
        <v>1</v>
      </c>
      <c r="B8" s="63" t="s">
        <v>240</v>
      </c>
      <c r="C8" s="117">
        <v>245</v>
      </c>
      <c r="D8" s="117">
        <v>107.9</v>
      </c>
      <c r="E8" s="119">
        <v>456</v>
      </c>
      <c r="F8" s="119">
        <v>157</v>
      </c>
      <c r="G8" s="119">
        <v>375</v>
      </c>
      <c r="H8" s="12">
        <v>168.4</v>
      </c>
      <c r="I8" s="119">
        <v>416</v>
      </c>
      <c r="J8" s="12">
        <v>186.8</v>
      </c>
      <c r="K8" s="67">
        <v>135</v>
      </c>
      <c r="L8" s="12">
        <f>ROUND((K8*10000/8571),1)</f>
        <v>157.5</v>
      </c>
      <c r="M8" s="68">
        <f>L8/J8*100-100</f>
        <v>-15.685224839400433</v>
      </c>
      <c r="N8" s="68">
        <f>ROUND((SUM(H8,J8,L8,D8,F8)/5),1)</f>
        <v>155.5</v>
      </c>
      <c r="O8" s="68">
        <f>L8/N8*100-100</f>
        <v>1.2861736334405265</v>
      </c>
    </row>
    <row r="9" spans="1:15" ht="33.75" customHeight="1" x14ac:dyDescent="0.25">
      <c r="A9" s="65">
        <v>2</v>
      </c>
      <c r="B9" s="63" t="s">
        <v>241</v>
      </c>
      <c r="C9" s="117">
        <v>134</v>
      </c>
      <c r="D9" s="117">
        <v>89.3</v>
      </c>
      <c r="E9" s="119">
        <v>172</v>
      </c>
      <c r="F9" s="119">
        <v>111.7</v>
      </c>
      <c r="G9" s="119">
        <v>86</v>
      </c>
      <c r="H9" s="12">
        <v>38.6</v>
      </c>
      <c r="I9" s="119">
        <v>241</v>
      </c>
      <c r="J9" s="12">
        <v>108.2</v>
      </c>
      <c r="K9" s="67">
        <v>112</v>
      </c>
      <c r="L9" s="12">
        <f t="shared" ref="L9:L13" si="0">ROUND((K9*10000/8571),1)</f>
        <v>130.69999999999999</v>
      </c>
      <c r="M9" s="121">
        <f t="shared" ref="M9:M13" si="1">L9/J9*100-100</f>
        <v>20.794824399260619</v>
      </c>
      <c r="N9" s="121">
        <f t="shared" ref="N9:N13" si="2">ROUND((SUM(H9,J9,L9,D9,F9)/5),1)</f>
        <v>95.7</v>
      </c>
      <c r="O9" s="68">
        <f t="shared" ref="O9:O13" si="3">L9/N9*100-100</f>
        <v>36.572622779519321</v>
      </c>
    </row>
    <row r="10" spans="1:15" ht="30" x14ac:dyDescent="0.25">
      <c r="A10" s="65">
        <v>3</v>
      </c>
      <c r="B10" s="63" t="s">
        <v>242</v>
      </c>
      <c r="C10" s="117">
        <v>153</v>
      </c>
      <c r="D10" s="117">
        <v>67.400000000000006</v>
      </c>
      <c r="E10" s="119">
        <v>76</v>
      </c>
      <c r="F10" s="119">
        <v>49.37</v>
      </c>
      <c r="G10" s="119">
        <v>152</v>
      </c>
      <c r="H10" s="12">
        <v>68.3</v>
      </c>
      <c r="I10" s="119">
        <v>140</v>
      </c>
      <c r="J10" s="12">
        <v>62.9</v>
      </c>
      <c r="K10" s="67">
        <v>48</v>
      </c>
      <c r="L10" s="12">
        <f t="shared" si="0"/>
        <v>56</v>
      </c>
      <c r="M10" s="121">
        <f t="shared" si="1"/>
        <v>-10.969793322734503</v>
      </c>
      <c r="N10" s="121">
        <f t="shared" si="2"/>
        <v>60.8</v>
      </c>
      <c r="O10" s="68">
        <f t="shared" si="3"/>
        <v>-7.8947368421052602</v>
      </c>
    </row>
    <row r="11" spans="1:15" ht="45.75" customHeight="1" x14ac:dyDescent="0.25">
      <c r="A11" s="65">
        <v>4</v>
      </c>
      <c r="B11" s="63" t="s">
        <v>241</v>
      </c>
      <c r="C11" s="117">
        <v>68</v>
      </c>
      <c r="D11" s="117">
        <v>45.3</v>
      </c>
      <c r="E11" s="118">
        <v>76</v>
      </c>
      <c r="F11" s="118">
        <v>5.0999999999999996</v>
      </c>
      <c r="G11" s="118">
        <v>72</v>
      </c>
      <c r="H11" s="12">
        <v>32.299999999999997</v>
      </c>
      <c r="I11" s="118">
        <v>51</v>
      </c>
      <c r="J11" s="12">
        <v>22.9</v>
      </c>
      <c r="K11" s="66">
        <v>19</v>
      </c>
      <c r="L11" s="12">
        <f t="shared" si="0"/>
        <v>22.2</v>
      </c>
      <c r="M11" s="121">
        <f t="shared" si="1"/>
        <v>-3.0567685589519584</v>
      </c>
      <c r="N11" s="121">
        <f t="shared" si="2"/>
        <v>25.6</v>
      </c>
      <c r="O11" s="68">
        <f t="shared" si="3"/>
        <v>-13.281250000000014</v>
      </c>
    </row>
    <row r="12" spans="1:15" ht="45" x14ac:dyDescent="0.25">
      <c r="A12" s="69">
        <v>5</v>
      </c>
      <c r="B12" s="63" t="s">
        <v>243</v>
      </c>
      <c r="C12" s="117">
        <v>60</v>
      </c>
      <c r="D12" s="117">
        <v>91.7</v>
      </c>
      <c r="E12" s="42">
        <v>116</v>
      </c>
      <c r="F12" s="42">
        <v>177.5</v>
      </c>
      <c r="G12" s="42">
        <v>35</v>
      </c>
      <c r="H12" s="12">
        <v>15.7</v>
      </c>
      <c r="I12" s="42">
        <v>43</v>
      </c>
      <c r="J12" s="12">
        <v>19.3</v>
      </c>
      <c r="K12" s="42">
        <v>61</v>
      </c>
      <c r="L12" s="12">
        <f t="shared" si="0"/>
        <v>71.2</v>
      </c>
      <c r="M12" s="121" t="s">
        <v>287</v>
      </c>
      <c r="N12" s="121">
        <f t="shared" si="2"/>
        <v>75.099999999999994</v>
      </c>
      <c r="O12" s="70">
        <f t="shared" si="3"/>
        <v>-5.1930758988015953</v>
      </c>
    </row>
    <row r="13" spans="1:15" x14ac:dyDescent="0.25">
      <c r="A13" s="21">
        <v>6</v>
      </c>
      <c r="B13" s="63" t="s">
        <v>244</v>
      </c>
      <c r="C13" s="117">
        <v>17</v>
      </c>
      <c r="D13" s="117">
        <v>2.2999999999999998</v>
      </c>
      <c r="E13" s="42">
        <v>26</v>
      </c>
      <c r="F13" s="42">
        <v>40</v>
      </c>
      <c r="G13" s="42">
        <v>9</v>
      </c>
      <c r="H13" s="12">
        <v>4</v>
      </c>
      <c r="I13" s="42">
        <v>12</v>
      </c>
      <c r="J13" s="12">
        <v>5.4</v>
      </c>
      <c r="K13" s="42">
        <v>3</v>
      </c>
      <c r="L13" s="12">
        <f t="shared" si="0"/>
        <v>3.5</v>
      </c>
      <c r="M13" s="121">
        <f t="shared" si="1"/>
        <v>-35.18518518518519</v>
      </c>
      <c r="N13" s="121">
        <f t="shared" si="2"/>
        <v>11</v>
      </c>
      <c r="O13" s="70">
        <f t="shared" si="3"/>
        <v>-68.181818181818187</v>
      </c>
    </row>
  </sheetData>
  <mergeCells count="10">
    <mergeCell ref="A5:A7"/>
    <mergeCell ref="B5:B7"/>
    <mergeCell ref="C5:D6"/>
    <mergeCell ref="E5:F6"/>
    <mergeCell ref="G5:H6"/>
    <mergeCell ref="M5:M7"/>
    <mergeCell ref="N5:N7"/>
    <mergeCell ref="O5:O7"/>
    <mergeCell ref="I5:J6"/>
    <mergeCell ref="K5:L6"/>
  </mergeCells>
  <pageMargins left="0.98425196850393704" right="0.98425196850393704" top="0.98425196850393704" bottom="0.98425196850393704" header="0.51181102362204722" footer="0.51181102362204722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8"/>
  <sheetViews>
    <sheetView view="pageBreakPreview" zoomScale="130" zoomScaleNormal="100" zoomScaleSheetLayoutView="130" workbookViewId="0">
      <selection activeCell="S8" sqref="S8"/>
    </sheetView>
  </sheetViews>
  <sheetFormatPr defaultRowHeight="15" x14ac:dyDescent="0.25"/>
  <cols>
    <col min="1" max="1" width="3.85546875" customWidth="1"/>
    <col min="2" max="2" width="18.5703125" customWidth="1"/>
    <col min="3" max="4" width="5.5703125" hidden="1" customWidth="1"/>
    <col min="5" max="5" width="4.85546875" hidden="1" customWidth="1"/>
    <col min="6" max="7" width="5.28515625" customWidth="1"/>
    <col min="8" max="8" width="5" customWidth="1"/>
    <col min="9" max="10" width="5.28515625" customWidth="1"/>
    <col min="11" max="11" width="5" customWidth="1"/>
    <col min="12" max="16" width="5.140625" customWidth="1"/>
    <col min="17" max="17" width="4.7109375" customWidth="1"/>
    <col min="18" max="18" width="7.42578125" customWidth="1"/>
    <col min="19" max="19" width="6" customWidth="1"/>
    <col min="20" max="20" width="9.28515625" customWidth="1"/>
  </cols>
  <sheetData>
    <row r="1" spans="1:20" x14ac:dyDescent="0.25">
      <c r="T1" s="10" t="s">
        <v>158</v>
      </c>
    </row>
    <row r="2" spans="1:20" x14ac:dyDescent="0.2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x14ac:dyDescent="0.25">
      <c r="A3" s="1"/>
    </row>
    <row r="4" spans="1:20" ht="15" customHeight="1" x14ac:dyDescent="0.25">
      <c r="A4" s="159" t="s">
        <v>0</v>
      </c>
      <c r="B4" s="159" t="s">
        <v>1</v>
      </c>
      <c r="C4" s="159" t="s">
        <v>183</v>
      </c>
      <c r="D4" s="159"/>
      <c r="E4" s="159"/>
      <c r="F4" s="159" t="s">
        <v>184</v>
      </c>
      <c r="G4" s="159"/>
      <c r="H4" s="159"/>
      <c r="I4" s="159" t="s">
        <v>245</v>
      </c>
      <c r="J4" s="159"/>
      <c r="K4" s="159"/>
      <c r="L4" s="159" t="s">
        <v>247</v>
      </c>
      <c r="M4" s="159"/>
      <c r="N4" s="159"/>
      <c r="O4" s="159" t="s">
        <v>258</v>
      </c>
      <c r="P4" s="159"/>
      <c r="Q4" s="159"/>
      <c r="R4" s="159" t="s">
        <v>144</v>
      </c>
      <c r="S4" s="159" t="s">
        <v>109</v>
      </c>
      <c r="T4" s="159" t="s">
        <v>145</v>
      </c>
    </row>
    <row r="5" spans="1:20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1:20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1:20" ht="30" x14ac:dyDescent="0.25">
      <c r="A7" s="159"/>
      <c r="B7" s="159"/>
      <c r="C7" s="84" t="s">
        <v>2</v>
      </c>
      <c r="D7" s="84" t="s">
        <v>3</v>
      </c>
      <c r="E7" s="84" t="s">
        <v>98</v>
      </c>
      <c r="F7" s="84" t="s">
        <v>2</v>
      </c>
      <c r="G7" s="84" t="s">
        <v>3</v>
      </c>
      <c r="H7" s="84" t="s">
        <v>98</v>
      </c>
      <c r="I7" s="84" t="s">
        <v>2</v>
      </c>
      <c r="J7" s="84" t="s">
        <v>3</v>
      </c>
      <c r="K7" s="84" t="s">
        <v>98</v>
      </c>
      <c r="L7" s="84" t="s">
        <v>2</v>
      </c>
      <c r="M7" s="84" t="s">
        <v>3</v>
      </c>
      <c r="N7" s="84" t="s">
        <v>98</v>
      </c>
      <c r="O7" s="84" t="s">
        <v>2</v>
      </c>
      <c r="P7" s="84" t="s">
        <v>3</v>
      </c>
      <c r="Q7" s="84" t="s">
        <v>98</v>
      </c>
      <c r="R7" s="159"/>
      <c r="S7" s="159"/>
      <c r="T7" s="159"/>
    </row>
    <row r="8" spans="1:20" ht="30" x14ac:dyDescent="0.25">
      <c r="A8" s="84"/>
      <c r="B8" s="84" t="s">
        <v>47</v>
      </c>
      <c r="C8" s="88"/>
      <c r="D8" s="84"/>
      <c r="E8" s="84"/>
      <c r="F8" s="88">
        <v>138</v>
      </c>
      <c r="G8" s="84">
        <v>15.7</v>
      </c>
      <c r="H8" s="84">
        <v>100</v>
      </c>
      <c r="I8" s="84">
        <v>176</v>
      </c>
      <c r="J8" s="84">
        <v>20.100000000000001</v>
      </c>
      <c r="K8" s="48">
        <v>100</v>
      </c>
      <c r="L8" s="87">
        <v>193</v>
      </c>
      <c r="M8" s="48">
        <v>22.2</v>
      </c>
      <c r="N8" s="48">
        <v>100</v>
      </c>
      <c r="O8" s="87">
        <v>145</v>
      </c>
      <c r="P8" s="48">
        <v>16.899999999999999</v>
      </c>
      <c r="Q8" s="48">
        <v>100</v>
      </c>
      <c r="R8" s="18">
        <f>P8/M8*100-100</f>
        <v>-23.873873873873876</v>
      </c>
      <c r="S8" s="18">
        <f>SUM(D8,G8,J8,M8,P8)/4</f>
        <v>18.725000000000001</v>
      </c>
      <c r="T8" s="18">
        <f>P8/S8*100-100</f>
        <v>-9.7463284379172421</v>
      </c>
    </row>
    <row r="9" spans="1:20" ht="30" x14ac:dyDescent="0.25">
      <c r="A9" s="84">
        <v>1</v>
      </c>
      <c r="B9" s="84" t="s">
        <v>20</v>
      </c>
      <c r="C9" s="89"/>
      <c r="D9" s="84"/>
      <c r="E9" s="84"/>
      <c r="F9" s="84">
        <v>53</v>
      </c>
      <c r="G9" s="84">
        <v>6</v>
      </c>
      <c r="H9" s="136">
        <f>F9*100/F8</f>
        <v>38.405797101449274</v>
      </c>
      <c r="I9" s="84">
        <v>61</v>
      </c>
      <c r="J9" s="84">
        <v>7</v>
      </c>
      <c r="K9" s="136">
        <f>I9*100/I8</f>
        <v>34.659090909090907</v>
      </c>
      <c r="L9" s="45">
        <v>56</v>
      </c>
      <c r="M9" s="48">
        <v>6.4</v>
      </c>
      <c r="N9" s="136">
        <f>L9*100/L8</f>
        <v>29.015544041450777</v>
      </c>
      <c r="O9" s="45">
        <v>49</v>
      </c>
      <c r="P9" s="48">
        <v>5.7</v>
      </c>
      <c r="Q9" s="136">
        <f>O9*100/O8</f>
        <v>33.793103448275865</v>
      </c>
      <c r="R9" s="18">
        <f t="shared" ref="R9:R18" si="0">P9/M9*100-100</f>
        <v>-10.9375</v>
      </c>
      <c r="S9" s="18">
        <f t="shared" ref="S9:S18" si="1">SUM(D9,G9,J9,M9,P9)/4</f>
        <v>6.2749999999999995</v>
      </c>
      <c r="T9" s="18">
        <f t="shared" ref="T9:T18" si="2">P9/S9*100-100</f>
        <v>-9.1633466135458121</v>
      </c>
    </row>
    <row r="10" spans="1:20" ht="30" x14ac:dyDescent="0.25">
      <c r="A10" s="84">
        <v>2</v>
      </c>
      <c r="B10" s="84" t="s">
        <v>21</v>
      </c>
      <c r="C10" s="89"/>
      <c r="D10" s="84"/>
      <c r="E10" s="84"/>
      <c r="F10" s="84">
        <v>20</v>
      </c>
      <c r="G10" s="84">
        <v>2.2999999999999998</v>
      </c>
      <c r="H10" s="136">
        <f>F10*100/F8</f>
        <v>14.492753623188406</v>
      </c>
      <c r="I10" s="84">
        <v>25</v>
      </c>
      <c r="J10" s="84">
        <v>2.9</v>
      </c>
      <c r="K10" s="136">
        <f>I10*100/I8</f>
        <v>14.204545454545455</v>
      </c>
      <c r="L10" s="48">
        <v>19</v>
      </c>
      <c r="M10" s="48">
        <v>2.2000000000000002</v>
      </c>
      <c r="N10" s="136">
        <f>L10*100/L8</f>
        <v>9.8445595854922274</v>
      </c>
      <c r="O10" s="48">
        <v>27</v>
      </c>
      <c r="P10" s="48">
        <v>3.2</v>
      </c>
      <c r="Q10" s="136">
        <f>O10*100/O8</f>
        <v>18.620689655172413</v>
      </c>
      <c r="R10" s="18">
        <f t="shared" si="0"/>
        <v>45.454545454545467</v>
      </c>
      <c r="S10" s="18">
        <f t="shared" si="1"/>
        <v>2.65</v>
      </c>
      <c r="T10" s="18">
        <f t="shared" si="2"/>
        <v>20.754716981132091</v>
      </c>
    </row>
    <row r="11" spans="1:20" ht="30" x14ac:dyDescent="0.25">
      <c r="A11" s="84">
        <v>3</v>
      </c>
      <c r="B11" s="84" t="s">
        <v>22</v>
      </c>
      <c r="C11" s="89"/>
      <c r="D11" s="84"/>
      <c r="E11" s="84"/>
      <c r="F11" s="84">
        <v>12</v>
      </c>
      <c r="G11" s="84">
        <v>1.4</v>
      </c>
      <c r="H11" s="136">
        <f>F11*100/F8</f>
        <v>8.695652173913043</v>
      </c>
      <c r="I11" s="84">
        <v>15</v>
      </c>
      <c r="J11" s="84">
        <v>1.7</v>
      </c>
      <c r="K11" s="136">
        <f>I11*100/I8</f>
        <v>8.5227272727272734</v>
      </c>
      <c r="L11" s="48">
        <v>16</v>
      </c>
      <c r="M11" s="48">
        <v>1.8</v>
      </c>
      <c r="N11" s="136">
        <f>L11*100/L8</f>
        <v>8.290155440414507</v>
      </c>
      <c r="O11" s="48">
        <v>10</v>
      </c>
      <c r="P11" s="48">
        <v>1.2</v>
      </c>
      <c r="Q11" s="136">
        <f>O11*100/O8</f>
        <v>6.8965517241379306</v>
      </c>
      <c r="R11" s="18">
        <f t="shared" si="0"/>
        <v>-33.333333333333343</v>
      </c>
      <c r="S11" s="18">
        <f t="shared" si="1"/>
        <v>1.5249999999999999</v>
      </c>
      <c r="T11" s="18">
        <f t="shared" si="2"/>
        <v>-21.311475409836063</v>
      </c>
    </row>
    <row r="12" spans="1:20" ht="30" x14ac:dyDescent="0.25">
      <c r="A12" s="84">
        <v>4</v>
      </c>
      <c r="B12" s="84" t="s">
        <v>23</v>
      </c>
      <c r="C12" s="84"/>
      <c r="D12" s="84"/>
      <c r="E12" s="84"/>
      <c r="F12" s="84">
        <v>11</v>
      </c>
      <c r="G12" s="84">
        <v>1.3</v>
      </c>
      <c r="H12" s="136">
        <f>F12*100/F8</f>
        <v>7.9710144927536231</v>
      </c>
      <c r="I12" s="84">
        <v>11</v>
      </c>
      <c r="J12" s="84">
        <v>1.3</v>
      </c>
      <c r="K12" s="136">
        <f>I12*100/I8</f>
        <v>6.25</v>
      </c>
      <c r="L12" s="48">
        <v>14</v>
      </c>
      <c r="M12" s="48">
        <v>1.6</v>
      </c>
      <c r="N12" s="136">
        <f>L12*100/L8</f>
        <v>7.2538860103626943</v>
      </c>
      <c r="O12" s="48">
        <v>13</v>
      </c>
      <c r="P12" s="48">
        <v>1.5</v>
      </c>
      <c r="Q12" s="136">
        <f>O12*100/O8</f>
        <v>8.9655172413793096</v>
      </c>
      <c r="R12" s="18">
        <f t="shared" si="0"/>
        <v>-6.25</v>
      </c>
      <c r="S12" s="18">
        <f t="shared" si="1"/>
        <v>1.425</v>
      </c>
      <c r="T12" s="18">
        <f t="shared" si="2"/>
        <v>5.2631578947368354</v>
      </c>
    </row>
    <row r="13" spans="1:20" ht="30" x14ac:dyDescent="0.25">
      <c r="A13" s="159">
        <v>5</v>
      </c>
      <c r="B13" s="84" t="s">
        <v>24</v>
      </c>
      <c r="C13" s="84"/>
      <c r="D13" s="84"/>
      <c r="E13" s="84"/>
      <c r="F13" s="84">
        <v>0</v>
      </c>
      <c r="G13" s="84">
        <v>0</v>
      </c>
      <c r="H13" s="136">
        <f>F13*100/F8</f>
        <v>0</v>
      </c>
      <c r="I13" s="84">
        <v>5</v>
      </c>
      <c r="J13" s="84">
        <v>0.6</v>
      </c>
      <c r="K13" s="136">
        <f>I13*100/I8</f>
        <v>2.8409090909090908</v>
      </c>
      <c r="L13" s="48">
        <v>1</v>
      </c>
      <c r="M13" s="48">
        <v>0.1</v>
      </c>
      <c r="N13" s="136">
        <f>L13*100/L8</f>
        <v>0.51813471502590669</v>
      </c>
      <c r="O13" s="48">
        <v>3</v>
      </c>
      <c r="P13" s="48">
        <v>0.4</v>
      </c>
      <c r="Q13" s="136">
        <f>O13*100/O8</f>
        <v>2.0689655172413794</v>
      </c>
      <c r="R13" s="18" t="s">
        <v>262</v>
      </c>
      <c r="S13" s="18">
        <f t="shared" si="1"/>
        <v>0.27500000000000002</v>
      </c>
      <c r="T13" s="18">
        <f t="shared" si="2"/>
        <v>45.454545454545467</v>
      </c>
    </row>
    <row r="14" spans="1:20" x14ac:dyDescent="0.25">
      <c r="A14" s="159"/>
      <c r="B14" s="84" t="s">
        <v>25</v>
      </c>
      <c r="C14" s="84"/>
      <c r="D14" s="84"/>
      <c r="E14" s="84"/>
      <c r="F14" s="84">
        <v>0</v>
      </c>
      <c r="G14" s="84">
        <v>0</v>
      </c>
      <c r="H14" s="136">
        <f>F14*100/F8</f>
        <v>0</v>
      </c>
      <c r="I14" s="84">
        <v>3</v>
      </c>
      <c r="J14" s="84">
        <v>0.3</v>
      </c>
      <c r="K14" s="136">
        <f>I14*100/I8</f>
        <v>1.7045454545454546</v>
      </c>
      <c r="L14" s="48">
        <v>1</v>
      </c>
      <c r="M14" s="48">
        <v>0.1</v>
      </c>
      <c r="N14" s="136">
        <f>L14*100/L8</f>
        <v>0.51813471502590669</v>
      </c>
      <c r="O14" s="48">
        <v>1</v>
      </c>
      <c r="P14" s="48">
        <v>0.1</v>
      </c>
      <c r="Q14" s="136">
        <f>O14*100/O8</f>
        <v>0.68965517241379315</v>
      </c>
      <c r="R14" s="18">
        <f t="shared" si="0"/>
        <v>0</v>
      </c>
      <c r="S14" s="18">
        <f t="shared" si="1"/>
        <v>0.125</v>
      </c>
      <c r="T14" s="18">
        <f t="shared" si="2"/>
        <v>-20</v>
      </c>
    </row>
    <row r="15" spans="1:20" ht="30" x14ac:dyDescent="0.25">
      <c r="A15" s="159">
        <v>6</v>
      </c>
      <c r="B15" s="84" t="s">
        <v>26</v>
      </c>
      <c r="C15" s="84"/>
      <c r="D15" s="84"/>
      <c r="E15" s="84"/>
      <c r="F15" s="84">
        <v>7</v>
      </c>
      <c r="G15" s="84">
        <v>0.8</v>
      </c>
      <c r="H15" s="136">
        <f>F15*100/F8</f>
        <v>5.0724637681159424</v>
      </c>
      <c r="I15" s="84">
        <v>7</v>
      </c>
      <c r="J15" s="84">
        <v>0.8</v>
      </c>
      <c r="K15" s="136">
        <f>I15*100/I8</f>
        <v>3.9772727272727271</v>
      </c>
      <c r="L15" s="48">
        <v>8</v>
      </c>
      <c r="M15" s="48">
        <v>0.9</v>
      </c>
      <c r="N15" s="136">
        <f>L15*100/L8</f>
        <v>4.1450777202072535</v>
      </c>
      <c r="O15" s="48">
        <v>4</v>
      </c>
      <c r="P15" s="48">
        <v>0.5</v>
      </c>
      <c r="Q15" s="136">
        <f>O15*100/O8</f>
        <v>2.7586206896551726</v>
      </c>
      <c r="R15" s="18">
        <f t="shared" si="0"/>
        <v>-44.444444444444443</v>
      </c>
      <c r="S15" s="18">
        <f t="shared" si="1"/>
        <v>0.75</v>
      </c>
      <c r="T15" s="18">
        <f t="shared" si="2"/>
        <v>-33.333333333333343</v>
      </c>
    </row>
    <row r="16" spans="1:20" x14ac:dyDescent="0.25">
      <c r="A16" s="159"/>
      <c r="B16" s="84" t="s">
        <v>27</v>
      </c>
      <c r="C16" s="84"/>
      <c r="D16" s="84"/>
      <c r="E16" s="84"/>
      <c r="F16" s="84">
        <v>4</v>
      </c>
      <c r="G16" s="84">
        <v>0.5</v>
      </c>
      <c r="H16" s="136">
        <f>F16*100/F8</f>
        <v>2.8985507246376812</v>
      </c>
      <c r="I16" s="84">
        <v>0</v>
      </c>
      <c r="J16" s="84">
        <v>0</v>
      </c>
      <c r="K16" s="136">
        <f>I16*100/I8</f>
        <v>0</v>
      </c>
      <c r="L16" s="48">
        <v>4</v>
      </c>
      <c r="M16" s="48">
        <v>0.5</v>
      </c>
      <c r="N16" s="136">
        <f>L16*100/L8</f>
        <v>2.0725388601036268</v>
      </c>
      <c r="O16" s="48">
        <v>0</v>
      </c>
      <c r="P16" s="48">
        <v>0</v>
      </c>
      <c r="Q16" s="136">
        <f>O16*100/O8</f>
        <v>0</v>
      </c>
      <c r="R16" s="18">
        <f t="shared" si="0"/>
        <v>-100</v>
      </c>
      <c r="S16" s="18">
        <f t="shared" si="1"/>
        <v>0.25</v>
      </c>
      <c r="T16" s="18">
        <f t="shared" si="2"/>
        <v>-100</v>
      </c>
    </row>
    <row r="17" spans="1:20" ht="45" x14ac:dyDescent="0.25">
      <c r="A17" s="84">
        <v>7</v>
      </c>
      <c r="B17" s="84" t="s">
        <v>28</v>
      </c>
      <c r="C17" s="84"/>
      <c r="D17" s="84"/>
      <c r="E17" s="84"/>
      <c r="F17" s="84">
        <v>1</v>
      </c>
      <c r="G17" s="84">
        <v>0.1</v>
      </c>
      <c r="H17" s="136">
        <f>F17*100/F8</f>
        <v>0.72463768115942029</v>
      </c>
      <c r="I17" s="84">
        <v>0</v>
      </c>
      <c r="J17" s="84">
        <v>0</v>
      </c>
      <c r="K17" s="136">
        <f>I17*100/I8</f>
        <v>0</v>
      </c>
      <c r="L17" s="48">
        <v>2</v>
      </c>
      <c r="M17" s="48">
        <v>0.2</v>
      </c>
      <c r="N17" s="136">
        <f>L17*100/L8</f>
        <v>1.0362694300518134</v>
      </c>
      <c r="O17" s="48">
        <v>0</v>
      </c>
      <c r="P17" s="48">
        <v>0</v>
      </c>
      <c r="Q17" s="136">
        <f>O17*100/O8</f>
        <v>0</v>
      </c>
      <c r="R17" s="18">
        <f t="shared" si="0"/>
        <v>-100</v>
      </c>
      <c r="S17" s="18">
        <f t="shared" si="1"/>
        <v>7.5000000000000011E-2</v>
      </c>
      <c r="T17" s="18">
        <f t="shared" si="2"/>
        <v>-100</v>
      </c>
    </row>
    <row r="18" spans="1:20" x14ac:dyDescent="0.25">
      <c r="A18" s="84">
        <v>8</v>
      </c>
      <c r="B18" s="84" t="s">
        <v>29</v>
      </c>
      <c r="C18" s="84"/>
      <c r="D18" s="84"/>
      <c r="E18" s="84"/>
      <c r="F18" s="84">
        <f>F8-SUM(F9:F17)</f>
        <v>30</v>
      </c>
      <c r="G18" s="127">
        <f>G8-SUM(G9:G17)</f>
        <v>3.2999999999999972</v>
      </c>
      <c r="H18" s="136">
        <f>F18*100/F8</f>
        <v>21.739130434782609</v>
      </c>
      <c r="I18" s="127">
        <f>I8-SUM(I9:I17)</f>
        <v>49</v>
      </c>
      <c r="J18" s="127">
        <f>J8-SUM(J9:J17)</f>
        <v>5.5</v>
      </c>
      <c r="K18" s="136">
        <f>I18*100/I8</f>
        <v>27.84090909090909</v>
      </c>
      <c r="L18" s="127">
        <f>L8-SUM(L9:L17)</f>
        <v>72</v>
      </c>
      <c r="M18" s="127">
        <f>M8-SUM(M9:M17)</f>
        <v>8.3999999999999986</v>
      </c>
      <c r="N18" s="136">
        <f>L18*100/L8</f>
        <v>37.305699481865283</v>
      </c>
      <c r="O18" s="127">
        <f>O8-SUM(O9:O17)</f>
        <v>38</v>
      </c>
      <c r="P18" s="127">
        <f>P8-SUM(P9:P17)</f>
        <v>4.2999999999999989</v>
      </c>
      <c r="Q18" s="136">
        <f>O18*100/O8</f>
        <v>26.206896551724139</v>
      </c>
      <c r="R18" s="18">
        <f t="shared" si="0"/>
        <v>-48.80952380952381</v>
      </c>
      <c r="S18" s="18">
        <f t="shared" si="1"/>
        <v>5.3749999999999982</v>
      </c>
      <c r="T18" s="18">
        <f t="shared" si="2"/>
        <v>-20</v>
      </c>
    </row>
  </sheetData>
  <mergeCells count="12">
    <mergeCell ref="R4:R7"/>
    <mergeCell ref="S4:S7"/>
    <mergeCell ref="T4:T7"/>
    <mergeCell ref="A15:A16"/>
    <mergeCell ref="A13:A14"/>
    <mergeCell ref="A4:A7"/>
    <mergeCell ref="B4:B7"/>
    <mergeCell ref="O4:Q6"/>
    <mergeCell ref="C4:E6"/>
    <mergeCell ref="F4:H6"/>
    <mergeCell ref="I4:K6"/>
    <mergeCell ref="L4:N6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"/>
  <sheetViews>
    <sheetView view="pageBreakPreview" zoomScale="140" zoomScaleNormal="100" zoomScaleSheetLayoutView="140" workbookViewId="0">
      <selection activeCell="M7" sqref="M7"/>
    </sheetView>
  </sheetViews>
  <sheetFormatPr defaultRowHeight="15" x14ac:dyDescent="0.25"/>
  <cols>
    <col min="1" max="1" width="4" customWidth="1"/>
    <col min="2" max="2" width="17.5703125" customWidth="1"/>
    <col min="3" max="3" width="0.140625" customWidth="1"/>
    <col min="4" max="4" width="8.42578125" hidden="1" customWidth="1"/>
    <col min="5" max="14" width="8.28515625" customWidth="1"/>
  </cols>
  <sheetData>
    <row r="1" spans="1:15" x14ac:dyDescent="0.25">
      <c r="N1" s="10" t="s">
        <v>159</v>
      </c>
    </row>
    <row r="2" spans="1:15" x14ac:dyDescent="0.25">
      <c r="A2" s="16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x14ac:dyDescent="0.25">
      <c r="A3" s="1"/>
    </row>
    <row r="4" spans="1:15" x14ac:dyDescent="0.25">
      <c r="A4" s="159" t="s">
        <v>0</v>
      </c>
      <c r="B4" s="159" t="s">
        <v>1</v>
      </c>
      <c r="C4" s="159" t="s">
        <v>183</v>
      </c>
      <c r="D4" s="164"/>
      <c r="E4" s="159" t="s">
        <v>184</v>
      </c>
      <c r="F4" s="164"/>
      <c r="G4" s="159" t="s">
        <v>245</v>
      </c>
      <c r="H4" s="159"/>
      <c r="I4" s="159" t="s">
        <v>247</v>
      </c>
      <c r="J4" s="159"/>
      <c r="K4" s="159" t="s">
        <v>258</v>
      </c>
      <c r="L4" s="159"/>
      <c r="M4" s="159" t="s">
        <v>144</v>
      </c>
      <c r="N4" s="159" t="s">
        <v>109</v>
      </c>
      <c r="O4" s="159" t="s">
        <v>145</v>
      </c>
    </row>
    <row r="5" spans="1:15" ht="42.75" customHeight="1" x14ac:dyDescent="0.25">
      <c r="A5" s="159"/>
      <c r="B5" s="159"/>
      <c r="C5" s="98" t="s">
        <v>2</v>
      </c>
      <c r="D5" s="98" t="s">
        <v>3</v>
      </c>
      <c r="E5" s="98" t="s">
        <v>2</v>
      </c>
      <c r="F5" s="98" t="s">
        <v>3</v>
      </c>
      <c r="G5" s="98" t="s">
        <v>2</v>
      </c>
      <c r="H5" s="98" t="s">
        <v>3</v>
      </c>
      <c r="I5" s="98" t="s">
        <v>2</v>
      </c>
      <c r="J5" s="98" t="s">
        <v>3</v>
      </c>
      <c r="K5" s="98" t="s">
        <v>2</v>
      </c>
      <c r="L5" s="98" t="s">
        <v>3</v>
      </c>
      <c r="M5" s="159"/>
      <c r="N5" s="159"/>
      <c r="O5" s="159"/>
    </row>
    <row r="6" spans="1:15" x14ac:dyDescent="0.25">
      <c r="A6" s="98"/>
      <c r="B6" s="98" t="s">
        <v>31</v>
      </c>
      <c r="C6" s="117"/>
      <c r="D6" s="117"/>
      <c r="E6" s="128">
        <v>53</v>
      </c>
      <c r="F6" s="46">
        <v>6</v>
      </c>
      <c r="G6" s="128">
        <v>61</v>
      </c>
      <c r="H6" s="46">
        <v>7</v>
      </c>
      <c r="I6" s="51">
        <v>56</v>
      </c>
      <c r="J6" s="46">
        <v>6.4</v>
      </c>
      <c r="K6" s="46">
        <v>49</v>
      </c>
      <c r="L6" s="46">
        <v>5.7</v>
      </c>
      <c r="M6" s="18">
        <f>L6/J6*100-100</f>
        <v>-10.9375</v>
      </c>
      <c r="N6" s="18">
        <f>SUM(D6,F6,H6,J6,L6)/4</f>
        <v>6.2749999999999995</v>
      </c>
      <c r="O6" s="18">
        <f>L6/N6*100-100</f>
        <v>-9.1633466135458121</v>
      </c>
    </row>
    <row r="7" spans="1:15" ht="30" x14ac:dyDescent="0.25">
      <c r="A7" s="98">
        <v>1</v>
      </c>
      <c r="B7" s="98" t="s">
        <v>32</v>
      </c>
      <c r="C7" s="117"/>
      <c r="D7" s="117"/>
      <c r="E7" s="128">
        <v>22</v>
      </c>
      <c r="F7" s="46">
        <v>2.5</v>
      </c>
      <c r="G7" s="128">
        <v>33</v>
      </c>
      <c r="H7" s="46">
        <v>3.8</v>
      </c>
      <c r="I7" s="51">
        <v>29</v>
      </c>
      <c r="J7" s="46">
        <v>3.3</v>
      </c>
      <c r="K7" s="46">
        <v>16</v>
      </c>
      <c r="L7" s="46">
        <v>1.9</v>
      </c>
      <c r="M7" s="18">
        <f t="shared" ref="M7:M11" si="0">L7/J7*100-100</f>
        <v>-42.424242424242422</v>
      </c>
      <c r="N7" s="18">
        <f t="shared" ref="N7:N11" si="1">SUM(D7,F7,H7,J7,L7)/4</f>
        <v>2.875</v>
      </c>
      <c r="O7" s="18">
        <f t="shared" ref="O7:O11" si="2">L7/N7*100-100</f>
        <v>-33.913043478260875</v>
      </c>
    </row>
    <row r="8" spans="1:15" x14ac:dyDescent="0.25">
      <c r="A8" s="98">
        <v>2</v>
      </c>
      <c r="B8" s="98" t="s">
        <v>33</v>
      </c>
      <c r="C8" s="117"/>
      <c r="D8" s="117"/>
      <c r="E8" s="128">
        <v>20</v>
      </c>
      <c r="F8" s="46">
        <v>2.2999999999999998</v>
      </c>
      <c r="G8" s="128">
        <v>13</v>
      </c>
      <c r="H8" s="46">
        <v>1.5</v>
      </c>
      <c r="I8" s="51">
        <v>13</v>
      </c>
      <c r="J8" s="46">
        <v>1.5</v>
      </c>
      <c r="K8" s="46">
        <v>20</v>
      </c>
      <c r="L8" s="46">
        <v>2.2999999999999998</v>
      </c>
      <c r="M8" s="18">
        <f t="shared" si="0"/>
        <v>53.333333333333314</v>
      </c>
      <c r="N8" s="18">
        <f t="shared" si="1"/>
        <v>1.9</v>
      </c>
      <c r="O8" s="18">
        <f t="shared" si="2"/>
        <v>21.05263157894737</v>
      </c>
    </row>
    <row r="9" spans="1:15" x14ac:dyDescent="0.25">
      <c r="A9" s="98">
        <v>3</v>
      </c>
      <c r="B9" s="21" t="s">
        <v>186</v>
      </c>
      <c r="C9" s="117"/>
      <c r="D9" s="117"/>
      <c r="E9" s="128">
        <v>6</v>
      </c>
      <c r="F9" s="46">
        <v>0.7</v>
      </c>
      <c r="G9" s="128">
        <v>8</v>
      </c>
      <c r="H9" s="46">
        <v>0.9</v>
      </c>
      <c r="I9" s="51">
        <v>11</v>
      </c>
      <c r="J9" s="46">
        <v>1.3</v>
      </c>
      <c r="K9" s="46">
        <v>9</v>
      </c>
      <c r="L9" s="46">
        <v>1.1000000000000001</v>
      </c>
      <c r="M9" s="18">
        <f t="shared" si="0"/>
        <v>-15.384615384615387</v>
      </c>
      <c r="N9" s="18">
        <f t="shared" si="1"/>
        <v>1</v>
      </c>
      <c r="O9" s="18">
        <f t="shared" si="2"/>
        <v>10.000000000000014</v>
      </c>
    </row>
    <row r="10" spans="1:15" ht="30" x14ac:dyDescent="0.25">
      <c r="A10" s="21">
        <v>4</v>
      </c>
      <c r="B10" s="21" t="s">
        <v>187</v>
      </c>
      <c r="C10" s="117"/>
      <c r="D10" s="117"/>
      <c r="E10" s="128">
        <v>8</v>
      </c>
      <c r="F10" s="46">
        <v>0.9</v>
      </c>
      <c r="G10" s="128">
        <v>7</v>
      </c>
      <c r="H10" s="46">
        <v>0.8</v>
      </c>
      <c r="I10" s="51">
        <v>2</v>
      </c>
      <c r="J10" s="46">
        <v>0.2</v>
      </c>
      <c r="K10" s="46">
        <v>5</v>
      </c>
      <c r="L10" s="46">
        <v>0.6</v>
      </c>
      <c r="M10" s="18" t="s">
        <v>263</v>
      </c>
      <c r="N10" s="18">
        <f t="shared" si="1"/>
        <v>0.625</v>
      </c>
      <c r="O10" s="18">
        <f t="shared" si="2"/>
        <v>-4</v>
      </c>
    </row>
    <row r="11" spans="1:15" x14ac:dyDescent="0.25">
      <c r="A11" s="21">
        <v>5</v>
      </c>
      <c r="B11" s="98" t="s">
        <v>29</v>
      </c>
      <c r="C11" s="117"/>
      <c r="D11" s="117"/>
      <c r="E11" s="137">
        <v>17</v>
      </c>
      <c r="F11" s="121">
        <v>1.9</v>
      </c>
      <c r="G11" s="137">
        <v>13</v>
      </c>
      <c r="H11" s="121">
        <v>1.5</v>
      </c>
      <c r="I11" s="137">
        <v>14</v>
      </c>
      <c r="J11" s="121">
        <v>1.6</v>
      </c>
      <c r="K11" s="121">
        <v>19</v>
      </c>
      <c r="L11" s="121">
        <f>L6-SUM(L7:L10)+L8</f>
        <v>2.1000000000000014</v>
      </c>
      <c r="M11" s="18">
        <f t="shared" si="0"/>
        <v>31.250000000000085</v>
      </c>
      <c r="N11" s="18">
        <f t="shared" si="1"/>
        <v>1.7750000000000004</v>
      </c>
      <c r="O11" s="18">
        <f t="shared" si="2"/>
        <v>18.30985915492964</v>
      </c>
    </row>
  </sheetData>
  <mergeCells count="10">
    <mergeCell ref="O4:O5"/>
    <mergeCell ref="M4:M5"/>
    <mergeCell ref="N4:N5"/>
    <mergeCell ref="I4:J4"/>
    <mergeCell ref="A4:A5"/>
    <mergeCell ref="B4:B5"/>
    <mergeCell ref="C4:D4"/>
    <mergeCell ref="E4:F4"/>
    <mergeCell ref="G4:H4"/>
    <mergeCell ref="K4:L4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view="pageBreakPreview" zoomScaleNormal="100" zoomScaleSheetLayoutView="100" workbookViewId="0">
      <selection activeCell="K25" sqref="K25"/>
    </sheetView>
  </sheetViews>
  <sheetFormatPr defaultColWidth="9.140625" defaultRowHeight="15" x14ac:dyDescent="0.25"/>
  <cols>
    <col min="1" max="1" width="4" style="6" customWidth="1"/>
    <col min="2" max="2" width="18.85546875" style="6" customWidth="1"/>
    <col min="3" max="12" width="8.28515625" style="6" customWidth="1"/>
    <col min="13" max="13" width="11.5703125" style="6" customWidth="1"/>
    <col min="14" max="16384" width="9.140625" style="6"/>
  </cols>
  <sheetData>
    <row r="1" spans="1:14" x14ac:dyDescent="0.25">
      <c r="N1" s="10" t="s">
        <v>161</v>
      </c>
    </row>
    <row r="2" spans="1:14" x14ac:dyDescent="0.25">
      <c r="A2" s="16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A3" s="159" t="s">
        <v>0</v>
      </c>
      <c r="B3" s="159" t="s">
        <v>1</v>
      </c>
      <c r="C3" s="159" t="s">
        <v>183</v>
      </c>
      <c r="D3" s="164"/>
      <c r="E3" s="159" t="s">
        <v>184</v>
      </c>
      <c r="F3" s="164"/>
      <c r="G3" s="159" t="s">
        <v>245</v>
      </c>
      <c r="H3" s="159"/>
      <c r="I3" s="159" t="s">
        <v>247</v>
      </c>
      <c r="J3" s="159"/>
      <c r="K3" s="159" t="s">
        <v>258</v>
      </c>
      <c r="L3" s="159"/>
      <c r="M3" s="159" t="s">
        <v>144</v>
      </c>
      <c r="N3" s="159" t="s">
        <v>109</v>
      </c>
    </row>
    <row r="4" spans="1:14" ht="29.25" customHeight="1" x14ac:dyDescent="0.25">
      <c r="A4" s="159"/>
      <c r="B4" s="159"/>
      <c r="C4" s="98" t="s">
        <v>2</v>
      </c>
      <c r="D4" s="98" t="s">
        <v>3</v>
      </c>
      <c r="E4" s="98" t="s">
        <v>2</v>
      </c>
      <c r="F4" s="98" t="s">
        <v>3</v>
      </c>
      <c r="G4" s="98" t="s">
        <v>2</v>
      </c>
      <c r="H4" s="98" t="s">
        <v>3</v>
      </c>
      <c r="I4" s="98" t="s">
        <v>2</v>
      </c>
      <c r="J4" s="98" t="s">
        <v>3</v>
      </c>
      <c r="K4" s="98" t="s">
        <v>2</v>
      </c>
      <c r="L4" s="98" t="s">
        <v>3</v>
      </c>
      <c r="M4" s="159"/>
      <c r="N4" s="159"/>
    </row>
    <row r="5" spans="1:14" x14ac:dyDescent="0.25">
      <c r="A5" s="98">
        <v>1</v>
      </c>
      <c r="B5" s="98" t="s">
        <v>188</v>
      </c>
      <c r="C5" s="117">
        <v>65</v>
      </c>
      <c r="D5" s="18">
        <v>2.2000000000000002</v>
      </c>
      <c r="E5" s="47">
        <v>80</v>
      </c>
      <c r="F5" s="18">
        <f>E5*1000/29044</f>
        <v>2.7544415369783777</v>
      </c>
      <c r="G5" s="47">
        <v>75</v>
      </c>
      <c r="H5" s="18">
        <f>G5*1000/29044</f>
        <v>2.5822889409172292</v>
      </c>
      <c r="I5" s="20">
        <v>66</v>
      </c>
      <c r="J5" s="18">
        <v>2.2999999999999998</v>
      </c>
      <c r="K5" s="19"/>
      <c r="L5" s="19"/>
      <c r="M5" s="18">
        <f>L5/J5*100-100</f>
        <v>-100</v>
      </c>
      <c r="N5" s="18">
        <f>SUM(D5,F5,H5,J5,L5)/5</f>
        <v>1.9673460955791213</v>
      </c>
    </row>
    <row r="6" spans="1:14" ht="30" x14ac:dyDescent="0.25">
      <c r="A6" s="98">
        <v>2</v>
      </c>
      <c r="B6" s="98" t="s">
        <v>189</v>
      </c>
      <c r="C6" s="117"/>
      <c r="D6" s="18"/>
      <c r="E6" s="117"/>
      <c r="F6" s="18">
        <f t="shared" ref="F6:F20" si="0">E6*1000/29044</f>
        <v>0</v>
      </c>
      <c r="G6" s="117"/>
      <c r="H6" s="18">
        <f t="shared" ref="H6:H20" si="1">G6*1000/29044</f>
        <v>0</v>
      </c>
      <c r="I6" s="20">
        <v>0</v>
      </c>
      <c r="J6" s="18"/>
      <c r="K6" s="19"/>
      <c r="L6" s="19"/>
      <c r="M6" s="18"/>
      <c r="N6" s="18">
        <f t="shared" ref="N6:N34" si="2">SUM(D6,F6,H6,J6,L6)/5</f>
        <v>0</v>
      </c>
    </row>
    <row r="7" spans="1:14" ht="30" x14ac:dyDescent="0.25">
      <c r="A7" s="98">
        <v>3</v>
      </c>
      <c r="B7" s="98" t="s">
        <v>190</v>
      </c>
      <c r="C7" s="117"/>
      <c r="D7" s="18"/>
      <c r="E7" s="117"/>
      <c r="F7" s="18">
        <f t="shared" si="0"/>
        <v>0</v>
      </c>
      <c r="G7" s="117"/>
      <c r="H7" s="18">
        <f t="shared" si="1"/>
        <v>0</v>
      </c>
      <c r="I7" s="20">
        <v>0</v>
      </c>
      <c r="J7" s="18"/>
      <c r="K7" s="19"/>
      <c r="L7" s="19"/>
      <c r="M7" s="18"/>
      <c r="N7" s="18">
        <f t="shared" si="2"/>
        <v>0</v>
      </c>
    </row>
    <row r="8" spans="1:14" x14ac:dyDescent="0.25">
      <c r="A8" s="98">
        <v>4</v>
      </c>
      <c r="B8" s="98" t="s">
        <v>122</v>
      </c>
      <c r="C8" s="117">
        <v>5</v>
      </c>
      <c r="D8" s="18">
        <v>0.2</v>
      </c>
      <c r="E8" s="117">
        <v>7</v>
      </c>
      <c r="F8" s="18">
        <f t="shared" si="0"/>
        <v>0.24101363448560803</v>
      </c>
      <c r="G8" s="117">
        <v>8</v>
      </c>
      <c r="H8" s="18">
        <f t="shared" si="1"/>
        <v>0.27544415369783776</v>
      </c>
      <c r="I8" s="20">
        <v>6</v>
      </c>
      <c r="J8" s="18">
        <v>0.2</v>
      </c>
      <c r="K8" s="19"/>
      <c r="L8" s="19"/>
      <c r="M8" s="18">
        <f t="shared" ref="M8:M31" si="3">L8/J8*100-100</f>
        <v>-100</v>
      </c>
      <c r="N8" s="18">
        <f t="shared" si="2"/>
        <v>0.18329155763668914</v>
      </c>
    </row>
    <row r="9" spans="1:14" ht="30" x14ac:dyDescent="0.25">
      <c r="A9" s="98">
        <v>5</v>
      </c>
      <c r="B9" s="98" t="s">
        <v>191</v>
      </c>
      <c r="C9" s="117">
        <v>14</v>
      </c>
      <c r="D9" s="18">
        <v>0.5</v>
      </c>
      <c r="E9" s="117">
        <v>16</v>
      </c>
      <c r="F9" s="18">
        <f t="shared" si="0"/>
        <v>0.55088830739567551</v>
      </c>
      <c r="G9" s="117">
        <v>14</v>
      </c>
      <c r="H9" s="18">
        <f t="shared" si="1"/>
        <v>0.48202726897121606</v>
      </c>
      <c r="I9" s="20">
        <v>15</v>
      </c>
      <c r="J9" s="18">
        <v>0.5</v>
      </c>
      <c r="K9" s="19"/>
      <c r="L9" s="19"/>
      <c r="M9" s="18">
        <f t="shared" si="3"/>
        <v>-100</v>
      </c>
      <c r="N9" s="18">
        <f t="shared" si="2"/>
        <v>0.40658311527337831</v>
      </c>
    </row>
    <row r="10" spans="1:14" ht="30" x14ac:dyDescent="0.25">
      <c r="A10" s="98">
        <v>6</v>
      </c>
      <c r="B10" s="98" t="s">
        <v>120</v>
      </c>
      <c r="C10" s="117">
        <v>12</v>
      </c>
      <c r="D10" s="18">
        <v>0.4</v>
      </c>
      <c r="E10" s="117">
        <v>3</v>
      </c>
      <c r="F10" s="18">
        <f t="shared" si="0"/>
        <v>0.10329155763668917</v>
      </c>
      <c r="G10" s="117">
        <v>2</v>
      </c>
      <c r="H10" s="18">
        <f t="shared" si="1"/>
        <v>6.8861038424459439E-2</v>
      </c>
      <c r="I10" s="20">
        <v>7</v>
      </c>
      <c r="J10" s="18">
        <v>0.2</v>
      </c>
      <c r="K10" s="19"/>
      <c r="L10" s="19"/>
      <c r="M10" s="18">
        <f t="shared" si="3"/>
        <v>-100</v>
      </c>
      <c r="N10" s="18">
        <f t="shared" si="2"/>
        <v>0.15443051921222972</v>
      </c>
    </row>
    <row r="11" spans="1:14" ht="30" x14ac:dyDescent="0.25">
      <c r="A11" s="98">
        <v>7</v>
      </c>
      <c r="B11" s="98" t="s">
        <v>129</v>
      </c>
      <c r="C11" s="117">
        <v>4</v>
      </c>
      <c r="D11" s="18">
        <v>0.1</v>
      </c>
      <c r="E11" s="117">
        <v>7</v>
      </c>
      <c r="F11" s="18">
        <f t="shared" si="0"/>
        <v>0.24101363448560803</v>
      </c>
      <c r="G11" s="117">
        <v>6</v>
      </c>
      <c r="H11" s="18">
        <f t="shared" si="1"/>
        <v>0.20658311527337833</v>
      </c>
      <c r="I11" s="20">
        <v>6</v>
      </c>
      <c r="J11" s="18">
        <v>0.2</v>
      </c>
      <c r="K11" s="19"/>
      <c r="L11" s="19"/>
      <c r="M11" s="18">
        <f t="shared" si="3"/>
        <v>-100</v>
      </c>
      <c r="N11" s="18">
        <f t="shared" si="2"/>
        <v>0.14951934995179728</v>
      </c>
    </row>
    <row r="12" spans="1:14" x14ac:dyDescent="0.25">
      <c r="A12" s="98">
        <v>8</v>
      </c>
      <c r="B12" s="98" t="s">
        <v>124</v>
      </c>
      <c r="C12" s="117">
        <v>1</v>
      </c>
      <c r="D12" s="18">
        <v>0.03</v>
      </c>
      <c r="E12" s="117">
        <v>0</v>
      </c>
      <c r="F12" s="18">
        <f t="shared" si="0"/>
        <v>0</v>
      </c>
      <c r="G12" s="117"/>
      <c r="H12" s="18">
        <f t="shared" si="1"/>
        <v>0</v>
      </c>
      <c r="I12" s="20">
        <v>4</v>
      </c>
      <c r="J12" s="18">
        <v>0.1</v>
      </c>
      <c r="K12" s="19"/>
      <c r="L12" s="19"/>
      <c r="M12" s="18">
        <v>100</v>
      </c>
      <c r="N12" s="18">
        <f t="shared" si="2"/>
        <v>2.6000000000000002E-2</v>
      </c>
    </row>
    <row r="13" spans="1:14" ht="30" x14ac:dyDescent="0.25">
      <c r="A13" s="98">
        <v>9</v>
      </c>
      <c r="B13" s="98" t="s">
        <v>116</v>
      </c>
      <c r="C13" s="117">
        <v>9</v>
      </c>
      <c r="D13" s="18">
        <v>0.3</v>
      </c>
      <c r="E13" s="117">
        <v>7</v>
      </c>
      <c r="F13" s="18">
        <f t="shared" si="0"/>
        <v>0.24101363448560803</v>
      </c>
      <c r="G13" s="117">
        <v>8</v>
      </c>
      <c r="H13" s="18">
        <f t="shared" si="1"/>
        <v>0.27544415369783776</v>
      </c>
      <c r="I13" s="20">
        <v>2</v>
      </c>
      <c r="J13" s="19">
        <v>7.0000000000000007E-2</v>
      </c>
      <c r="K13" s="19"/>
      <c r="L13" s="19"/>
      <c r="M13" s="18">
        <f t="shared" si="3"/>
        <v>-100</v>
      </c>
      <c r="N13" s="18">
        <f t="shared" si="2"/>
        <v>0.17729155763668919</v>
      </c>
    </row>
    <row r="14" spans="1:14" ht="45" x14ac:dyDescent="0.25">
      <c r="A14" s="98">
        <v>10</v>
      </c>
      <c r="B14" s="98" t="s">
        <v>192</v>
      </c>
      <c r="C14" s="117">
        <v>2</v>
      </c>
      <c r="D14" s="18">
        <v>7.0000000000000007E-2</v>
      </c>
      <c r="E14" s="117">
        <v>4</v>
      </c>
      <c r="F14" s="18">
        <f t="shared" si="0"/>
        <v>0.13772207684891888</v>
      </c>
      <c r="G14" s="117">
        <v>5</v>
      </c>
      <c r="H14" s="18">
        <f t="shared" si="1"/>
        <v>0.17215259606114861</v>
      </c>
      <c r="I14" s="20">
        <v>4</v>
      </c>
      <c r="J14" s="18">
        <v>0.1</v>
      </c>
      <c r="K14" s="19"/>
      <c r="L14" s="19"/>
      <c r="M14" s="18">
        <f t="shared" si="3"/>
        <v>-100</v>
      </c>
      <c r="N14" s="18">
        <f t="shared" si="2"/>
        <v>9.5974934582013491E-2</v>
      </c>
    </row>
    <row r="15" spans="1:14" x14ac:dyDescent="0.25">
      <c r="A15" s="98">
        <v>11</v>
      </c>
      <c r="B15" s="98" t="s">
        <v>126</v>
      </c>
      <c r="C15" s="117">
        <v>2</v>
      </c>
      <c r="D15" s="18">
        <v>7.0000000000000007E-2</v>
      </c>
      <c r="E15" s="117">
        <v>0</v>
      </c>
      <c r="F15" s="18">
        <f t="shared" si="0"/>
        <v>0</v>
      </c>
      <c r="G15" s="117">
        <v>1</v>
      </c>
      <c r="H15" s="18">
        <f t="shared" si="1"/>
        <v>3.443051921222972E-2</v>
      </c>
      <c r="I15" s="20">
        <v>0</v>
      </c>
      <c r="J15" s="19"/>
      <c r="K15" s="19"/>
      <c r="L15" s="19"/>
      <c r="M15" s="18" t="e">
        <f t="shared" si="3"/>
        <v>#DIV/0!</v>
      </c>
      <c r="N15" s="18">
        <f t="shared" si="2"/>
        <v>2.0886103842445946E-2</v>
      </c>
    </row>
    <row r="16" spans="1:14" x14ac:dyDescent="0.25">
      <c r="A16" s="98">
        <v>12</v>
      </c>
      <c r="B16" s="98" t="s">
        <v>193</v>
      </c>
      <c r="C16" s="117">
        <v>1</v>
      </c>
      <c r="D16" s="18">
        <v>0.03</v>
      </c>
      <c r="E16" s="117">
        <v>6</v>
      </c>
      <c r="F16" s="18">
        <f t="shared" si="0"/>
        <v>0.20658311527337833</v>
      </c>
      <c r="G16" s="117">
        <v>4</v>
      </c>
      <c r="H16" s="18">
        <f t="shared" si="1"/>
        <v>0.13772207684891888</v>
      </c>
      <c r="I16" s="20">
        <v>2</v>
      </c>
      <c r="J16" s="19">
        <v>7.0000000000000007E-2</v>
      </c>
      <c r="K16" s="19"/>
      <c r="L16" s="19"/>
      <c r="M16" s="18">
        <f t="shared" si="3"/>
        <v>-100</v>
      </c>
      <c r="N16" s="18">
        <f t="shared" si="2"/>
        <v>8.8861038424459443E-2</v>
      </c>
    </row>
    <row r="17" spans="1:14" x14ac:dyDescent="0.25">
      <c r="A17" s="98">
        <v>13</v>
      </c>
      <c r="B17" s="98" t="s">
        <v>119</v>
      </c>
      <c r="C17" s="117">
        <v>2</v>
      </c>
      <c r="D17" s="18">
        <v>7.0000000000000007E-2</v>
      </c>
      <c r="E17" s="117">
        <v>3</v>
      </c>
      <c r="F17" s="18">
        <f t="shared" si="0"/>
        <v>0.10329155763668917</v>
      </c>
      <c r="G17" s="117">
        <v>2</v>
      </c>
      <c r="H17" s="18">
        <f t="shared" si="1"/>
        <v>6.8861038424459439E-2</v>
      </c>
      <c r="I17" s="20">
        <v>3</v>
      </c>
      <c r="J17" s="18">
        <v>0.1</v>
      </c>
      <c r="K17" s="19"/>
      <c r="L17" s="19"/>
      <c r="M17" s="18">
        <f t="shared" si="3"/>
        <v>-100</v>
      </c>
      <c r="N17" s="18">
        <f t="shared" si="2"/>
        <v>6.8430519212229729E-2</v>
      </c>
    </row>
    <row r="18" spans="1:14" x14ac:dyDescent="0.25">
      <c r="A18" s="98">
        <v>14</v>
      </c>
      <c r="B18" s="98" t="s">
        <v>118</v>
      </c>
      <c r="C18" s="117" t="s">
        <v>194</v>
      </c>
      <c r="D18" s="18" t="s">
        <v>194</v>
      </c>
      <c r="E18" s="117">
        <v>2</v>
      </c>
      <c r="F18" s="18">
        <f t="shared" si="0"/>
        <v>6.8861038424459439E-2</v>
      </c>
      <c r="G18" s="117">
        <v>1</v>
      </c>
      <c r="H18" s="18">
        <f t="shared" si="1"/>
        <v>3.443051921222972E-2</v>
      </c>
      <c r="I18" s="20">
        <v>1</v>
      </c>
      <c r="J18" s="19">
        <v>0.03</v>
      </c>
      <c r="K18" s="19"/>
      <c r="L18" s="19"/>
      <c r="M18" s="18">
        <f t="shared" si="3"/>
        <v>-100</v>
      </c>
      <c r="N18" s="18">
        <f t="shared" si="2"/>
        <v>2.665831152733783E-2</v>
      </c>
    </row>
    <row r="19" spans="1:14" ht="30" x14ac:dyDescent="0.25">
      <c r="A19" s="98">
        <v>15</v>
      </c>
      <c r="B19" s="98" t="s">
        <v>195</v>
      </c>
      <c r="C19" s="117">
        <v>3</v>
      </c>
      <c r="D19" s="18">
        <v>0.1</v>
      </c>
      <c r="E19" s="117">
        <v>1</v>
      </c>
      <c r="F19" s="18">
        <f t="shared" si="0"/>
        <v>3.443051921222972E-2</v>
      </c>
      <c r="G19" s="117">
        <v>2</v>
      </c>
      <c r="H19" s="18">
        <f t="shared" si="1"/>
        <v>6.8861038424459439E-2</v>
      </c>
      <c r="I19" s="20">
        <v>2</v>
      </c>
      <c r="J19" s="19">
        <v>7.0000000000000007E-2</v>
      </c>
      <c r="K19" s="19"/>
      <c r="L19" s="19"/>
      <c r="M19" s="18">
        <f t="shared" si="3"/>
        <v>-100</v>
      </c>
      <c r="N19" s="18">
        <f t="shared" si="2"/>
        <v>5.4658311527337834E-2</v>
      </c>
    </row>
    <row r="20" spans="1:14" ht="30" x14ac:dyDescent="0.25">
      <c r="A20" s="98">
        <v>16</v>
      </c>
      <c r="B20" s="98" t="s">
        <v>125</v>
      </c>
      <c r="C20" s="117">
        <v>2</v>
      </c>
      <c r="D20" s="18">
        <v>7.0000000000000007E-2</v>
      </c>
      <c r="E20" s="117">
        <v>2</v>
      </c>
      <c r="F20" s="18">
        <f t="shared" si="0"/>
        <v>6.8861038424459439E-2</v>
      </c>
      <c r="G20" s="117">
        <v>3</v>
      </c>
      <c r="H20" s="18">
        <f t="shared" si="1"/>
        <v>0.10329155763668917</v>
      </c>
      <c r="I20" s="20">
        <v>4</v>
      </c>
      <c r="J20" s="18">
        <v>0.1</v>
      </c>
      <c r="K20" s="19"/>
      <c r="L20" s="19"/>
      <c r="M20" s="18">
        <f t="shared" si="3"/>
        <v>-100</v>
      </c>
      <c r="N20" s="18">
        <f t="shared" si="2"/>
        <v>6.8430519212229729E-2</v>
      </c>
    </row>
    <row r="21" spans="1:14" x14ac:dyDescent="0.25">
      <c r="A21" s="102"/>
      <c r="B21" s="102"/>
      <c r="C21" s="102"/>
      <c r="D21" s="102"/>
      <c r="E21" s="102"/>
      <c r="F21" s="102"/>
      <c r="G21" s="102"/>
      <c r="H21" s="103"/>
      <c r="I21" s="102"/>
      <c r="J21" s="103"/>
      <c r="K21" s="103"/>
      <c r="L21" s="165" t="s">
        <v>254</v>
      </c>
      <c r="M21" s="165"/>
      <c r="N21" s="165"/>
    </row>
    <row r="22" spans="1:14" x14ac:dyDescent="0.25">
      <c r="A22" s="159" t="s">
        <v>0</v>
      </c>
      <c r="B22" s="159" t="s">
        <v>1</v>
      </c>
      <c r="C22" s="159" t="s">
        <v>183</v>
      </c>
      <c r="D22" s="164"/>
      <c r="E22" s="159" t="s">
        <v>184</v>
      </c>
      <c r="F22" s="164"/>
      <c r="G22" s="159" t="s">
        <v>245</v>
      </c>
      <c r="H22" s="159"/>
      <c r="I22" s="159" t="s">
        <v>247</v>
      </c>
      <c r="J22" s="159"/>
      <c r="K22" s="159" t="s">
        <v>258</v>
      </c>
      <c r="L22" s="159"/>
      <c r="M22" s="159" t="s">
        <v>144</v>
      </c>
      <c r="N22" s="159" t="s">
        <v>109</v>
      </c>
    </row>
    <row r="23" spans="1:14" ht="29.25" customHeight="1" x14ac:dyDescent="0.25">
      <c r="A23" s="159"/>
      <c r="B23" s="159"/>
      <c r="C23" s="98" t="s">
        <v>2</v>
      </c>
      <c r="D23" s="98" t="s">
        <v>3</v>
      </c>
      <c r="E23" s="98" t="s">
        <v>2</v>
      </c>
      <c r="F23" s="98" t="s">
        <v>3</v>
      </c>
      <c r="G23" s="98" t="s">
        <v>2</v>
      </c>
      <c r="H23" s="98" t="s">
        <v>3</v>
      </c>
      <c r="I23" s="98" t="s">
        <v>2</v>
      </c>
      <c r="J23" s="98" t="s">
        <v>3</v>
      </c>
      <c r="K23" s="98" t="s">
        <v>2</v>
      </c>
      <c r="L23" s="98" t="s">
        <v>3</v>
      </c>
      <c r="M23" s="159"/>
      <c r="N23" s="159"/>
    </row>
    <row r="24" spans="1:14" ht="30" x14ac:dyDescent="0.25">
      <c r="A24" s="98">
        <v>17</v>
      </c>
      <c r="B24" s="98" t="s">
        <v>196</v>
      </c>
      <c r="C24" s="117">
        <v>1</v>
      </c>
      <c r="D24" s="117">
        <v>0.03</v>
      </c>
      <c r="E24" s="117">
        <v>0</v>
      </c>
      <c r="F24" s="19">
        <f t="shared" ref="F24:F34" si="4">E24*1000/29044</f>
        <v>0</v>
      </c>
      <c r="G24" s="117"/>
      <c r="H24" s="19">
        <f t="shared" ref="H24:H34" si="5">G24*1000/29044</f>
        <v>0</v>
      </c>
      <c r="I24" s="20">
        <v>1</v>
      </c>
      <c r="J24" s="19">
        <v>0.03</v>
      </c>
      <c r="K24" s="19"/>
      <c r="L24" s="19"/>
      <c r="M24" s="18">
        <v>100</v>
      </c>
      <c r="N24" s="18">
        <f t="shared" si="2"/>
        <v>1.2E-2</v>
      </c>
    </row>
    <row r="25" spans="1:14" ht="30" x14ac:dyDescent="0.25">
      <c r="A25" s="98">
        <v>18</v>
      </c>
      <c r="B25" s="98" t="s">
        <v>121</v>
      </c>
      <c r="C25" s="117">
        <v>2</v>
      </c>
      <c r="D25" s="117">
        <v>7.0000000000000007E-2</v>
      </c>
      <c r="E25" s="117">
        <v>6</v>
      </c>
      <c r="F25" s="18">
        <f t="shared" si="4"/>
        <v>0.20658311527337833</v>
      </c>
      <c r="G25" s="117">
        <v>5</v>
      </c>
      <c r="H25" s="19">
        <f t="shared" si="5"/>
        <v>0.17215259606114861</v>
      </c>
      <c r="I25" s="20">
        <v>6</v>
      </c>
      <c r="J25" s="19">
        <v>0.2</v>
      </c>
      <c r="K25" s="19"/>
      <c r="L25" s="19"/>
      <c r="M25" s="18">
        <f t="shared" si="3"/>
        <v>-100</v>
      </c>
      <c r="N25" s="18">
        <f t="shared" si="2"/>
        <v>0.12974714226690537</v>
      </c>
    </row>
    <row r="26" spans="1:14" x14ac:dyDescent="0.25">
      <c r="A26" s="98">
        <v>19</v>
      </c>
      <c r="B26" s="98" t="s">
        <v>127</v>
      </c>
      <c r="C26" s="117">
        <v>2</v>
      </c>
      <c r="D26" s="117">
        <v>7.0000000000000007E-2</v>
      </c>
      <c r="E26" s="117">
        <v>1</v>
      </c>
      <c r="F26" s="19">
        <f t="shared" si="4"/>
        <v>3.443051921222972E-2</v>
      </c>
      <c r="G26" s="117">
        <v>1</v>
      </c>
      <c r="H26" s="19">
        <f t="shared" si="5"/>
        <v>3.443051921222972E-2</v>
      </c>
      <c r="I26" s="20">
        <v>1</v>
      </c>
      <c r="J26" s="19">
        <v>0.03</v>
      </c>
      <c r="K26" s="19"/>
      <c r="L26" s="19"/>
      <c r="M26" s="18">
        <f t="shared" si="3"/>
        <v>-100</v>
      </c>
      <c r="N26" s="18">
        <f t="shared" si="2"/>
        <v>3.3772207684891892E-2</v>
      </c>
    </row>
    <row r="27" spans="1:14" x14ac:dyDescent="0.25">
      <c r="A27" s="98">
        <v>20</v>
      </c>
      <c r="B27" s="98" t="s">
        <v>128</v>
      </c>
      <c r="C27" s="117" t="s">
        <v>194</v>
      </c>
      <c r="D27" s="117" t="s">
        <v>194</v>
      </c>
      <c r="E27" s="117">
        <v>1</v>
      </c>
      <c r="F27" s="19">
        <f t="shared" si="4"/>
        <v>3.443051921222972E-2</v>
      </c>
      <c r="G27" s="117">
        <v>0</v>
      </c>
      <c r="H27" s="19">
        <f t="shared" si="5"/>
        <v>0</v>
      </c>
      <c r="I27" s="20">
        <v>0</v>
      </c>
      <c r="J27" s="19"/>
      <c r="K27" s="19"/>
      <c r="L27" s="19"/>
      <c r="M27" s="18"/>
      <c r="N27" s="18">
        <f t="shared" si="2"/>
        <v>6.8861038424459439E-3</v>
      </c>
    </row>
    <row r="28" spans="1:14" ht="30" x14ac:dyDescent="0.25">
      <c r="A28" s="98">
        <v>21</v>
      </c>
      <c r="B28" s="98" t="s">
        <v>131</v>
      </c>
      <c r="C28" s="117">
        <v>1</v>
      </c>
      <c r="D28" s="117">
        <v>0.03</v>
      </c>
      <c r="E28" s="117">
        <v>2</v>
      </c>
      <c r="F28" s="19">
        <f t="shared" si="4"/>
        <v>6.8861038424459439E-2</v>
      </c>
      <c r="G28" s="117">
        <v>3</v>
      </c>
      <c r="H28" s="19">
        <f t="shared" si="5"/>
        <v>0.10329155763668917</v>
      </c>
      <c r="I28" s="20">
        <v>1</v>
      </c>
      <c r="J28" s="19">
        <v>0.03</v>
      </c>
      <c r="K28" s="19"/>
      <c r="L28" s="19"/>
      <c r="M28" s="18">
        <f t="shared" si="3"/>
        <v>-100</v>
      </c>
      <c r="N28" s="18">
        <f t="shared" si="2"/>
        <v>4.6430519212229723E-2</v>
      </c>
    </row>
    <row r="29" spans="1:14" x14ac:dyDescent="0.25">
      <c r="A29" s="98"/>
      <c r="B29" s="98" t="s">
        <v>138</v>
      </c>
      <c r="C29" s="117" t="s">
        <v>194</v>
      </c>
      <c r="D29" s="117" t="s">
        <v>194</v>
      </c>
      <c r="E29" s="117">
        <v>2</v>
      </c>
      <c r="F29" s="19">
        <f t="shared" si="4"/>
        <v>6.8861038424459439E-2</v>
      </c>
      <c r="G29" s="117">
        <v>1</v>
      </c>
      <c r="H29" s="19">
        <f t="shared" si="5"/>
        <v>3.443051921222972E-2</v>
      </c>
      <c r="I29" s="20">
        <v>0</v>
      </c>
      <c r="J29" s="19"/>
      <c r="K29" s="19"/>
      <c r="L29" s="19"/>
      <c r="M29" s="18" t="e">
        <f t="shared" si="3"/>
        <v>#DIV/0!</v>
      </c>
      <c r="N29" s="18">
        <f t="shared" si="2"/>
        <v>2.0658311527337832E-2</v>
      </c>
    </row>
    <row r="30" spans="1:14" x14ac:dyDescent="0.25">
      <c r="A30" s="36"/>
      <c r="B30" s="98" t="s">
        <v>197</v>
      </c>
      <c r="C30" s="117">
        <v>1</v>
      </c>
      <c r="D30" s="117">
        <v>0.03</v>
      </c>
      <c r="E30" s="36">
        <v>2</v>
      </c>
      <c r="F30" s="19">
        <f t="shared" si="4"/>
        <v>6.8861038424459439E-2</v>
      </c>
      <c r="G30" s="36">
        <v>1</v>
      </c>
      <c r="H30" s="19">
        <f t="shared" si="5"/>
        <v>3.443051921222972E-2</v>
      </c>
      <c r="I30" s="20">
        <v>1</v>
      </c>
      <c r="J30" s="19">
        <v>0.03</v>
      </c>
      <c r="K30" s="19"/>
      <c r="L30" s="19"/>
      <c r="M30" s="18">
        <f t="shared" si="3"/>
        <v>-100</v>
      </c>
      <c r="N30" s="18">
        <f t="shared" si="2"/>
        <v>3.2658311527337829E-2</v>
      </c>
    </row>
    <row r="31" spans="1:14" ht="30" x14ac:dyDescent="0.25">
      <c r="A31" s="36"/>
      <c r="B31" s="98" t="s">
        <v>123</v>
      </c>
      <c r="C31" s="117" t="s">
        <v>194</v>
      </c>
      <c r="D31" s="117" t="s">
        <v>194</v>
      </c>
      <c r="E31" s="36">
        <v>1</v>
      </c>
      <c r="F31" s="19">
        <f t="shared" si="4"/>
        <v>3.443051921222972E-2</v>
      </c>
      <c r="G31" s="36">
        <v>1</v>
      </c>
      <c r="H31" s="19">
        <f t="shared" si="5"/>
        <v>3.443051921222972E-2</v>
      </c>
      <c r="I31" s="20">
        <v>0</v>
      </c>
      <c r="J31" s="19"/>
      <c r="K31" s="19"/>
      <c r="L31" s="19"/>
      <c r="M31" s="18" t="e">
        <f t="shared" si="3"/>
        <v>#DIV/0!</v>
      </c>
      <c r="N31" s="18">
        <f t="shared" si="2"/>
        <v>1.3772207684891888E-2</v>
      </c>
    </row>
    <row r="32" spans="1:14" ht="45" x14ac:dyDescent="0.25">
      <c r="A32" s="36"/>
      <c r="B32" s="98" t="s">
        <v>198</v>
      </c>
      <c r="C32" s="117" t="s">
        <v>194</v>
      </c>
      <c r="D32" s="117" t="s">
        <v>194</v>
      </c>
      <c r="E32" s="36">
        <v>0</v>
      </c>
      <c r="F32" s="19">
        <f t="shared" si="4"/>
        <v>0</v>
      </c>
      <c r="G32" s="36">
        <v>0</v>
      </c>
      <c r="H32" s="19">
        <f t="shared" si="5"/>
        <v>0</v>
      </c>
      <c r="I32" s="20">
        <v>0</v>
      </c>
      <c r="J32" s="19"/>
      <c r="K32" s="19"/>
      <c r="L32" s="19"/>
      <c r="M32" s="18"/>
      <c r="N32" s="18">
        <f t="shared" si="2"/>
        <v>0</v>
      </c>
    </row>
    <row r="33" spans="1:14" x14ac:dyDescent="0.25">
      <c r="A33" s="36"/>
      <c r="B33" s="98" t="s">
        <v>199</v>
      </c>
      <c r="C33" s="117" t="s">
        <v>194</v>
      </c>
      <c r="D33" s="117" t="s">
        <v>194</v>
      </c>
      <c r="E33" s="36">
        <v>0</v>
      </c>
      <c r="F33" s="19">
        <f t="shared" si="4"/>
        <v>0</v>
      </c>
      <c r="G33" s="36">
        <v>0</v>
      </c>
      <c r="H33" s="19">
        <f t="shared" si="5"/>
        <v>0</v>
      </c>
      <c r="I33" s="20">
        <v>0</v>
      </c>
      <c r="J33" s="19"/>
      <c r="K33" s="19"/>
      <c r="L33" s="19"/>
      <c r="M33" s="18"/>
      <c r="N33" s="18">
        <f t="shared" si="2"/>
        <v>0</v>
      </c>
    </row>
    <row r="34" spans="1:14" x14ac:dyDescent="0.25">
      <c r="A34" s="36"/>
      <c r="B34" s="98" t="s">
        <v>29</v>
      </c>
      <c r="C34" s="117">
        <v>1</v>
      </c>
      <c r="D34" s="117">
        <v>0.03</v>
      </c>
      <c r="E34" s="36">
        <v>0</v>
      </c>
      <c r="F34" s="19">
        <f t="shared" si="4"/>
        <v>0</v>
      </c>
      <c r="G34" s="36">
        <v>0</v>
      </c>
      <c r="H34" s="19">
        <f t="shared" si="5"/>
        <v>0</v>
      </c>
      <c r="I34" s="20">
        <v>0</v>
      </c>
      <c r="J34" s="19"/>
      <c r="K34" s="19"/>
      <c r="L34" s="19"/>
      <c r="M34" s="18"/>
      <c r="N34" s="18">
        <f t="shared" si="2"/>
        <v>6.0000000000000001E-3</v>
      </c>
    </row>
  </sheetData>
  <mergeCells count="19">
    <mergeCell ref="M3:M4"/>
    <mergeCell ref="N3:N4"/>
    <mergeCell ref="I3:J3"/>
    <mergeCell ref="A3:A4"/>
    <mergeCell ref="B3:B4"/>
    <mergeCell ref="C3:D3"/>
    <mergeCell ref="E3:F3"/>
    <mergeCell ref="G3:H3"/>
    <mergeCell ref="K3:L3"/>
    <mergeCell ref="A22:A23"/>
    <mergeCell ref="B22:B23"/>
    <mergeCell ref="C22:D22"/>
    <mergeCell ref="E22:F22"/>
    <mergeCell ref="G22:H22"/>
    <mergeCell ref="I22:J22"/>
    <mergeCell ref="K22:L22"/>
    <mergeCell ref="M22:M23"/>
    <mergeCell ref="N22:N23"/>
    <mergeCell ref="L21:N21"/>
  </mergeCells>
  <pageMargins left="0.98425196850393704" right="0.98425196850393704" top="0.98425196850393704" bottom="0.98425196850393704" header="0.51181102362204722" footer="0.51181102362204722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"/>
  <sheetViews>
    <sheetView view="pageBreakPreview" zoomScale="160" zoomScaleNormal="90" zoomScaleSheetLayoutView="160" workbookViewId="0">
      <selection activeCell="N5" sqref="N5"/>
    </sheetView>
  </sheetViews>
  <sheetFormatPr defaultRowHeight="15" x14ac:dyDescent="0.25"/>
  <cols>
    <col min="1" max="1" width="4.140625" customWidth="1"/>
    <col min="2" max="2" width="14.5703125" customWidth="1"/>
    <col min="3" max="3" width="0.140625" hidden="1" customWidth="1"/>
    <col min="4" max="4" width="4.7109375" hidden="1" customWidth="1"/>
    <col min="5" max="5" width="7.42578125" hidden="1" customWidth="1"/>
    <col min="6" max="6" width="5.42578125" bestFit="1" customWidth="1"/>
    <col min="7" max="7" width="5.28515625" bestFit="1" customWidth="1"/>
    <col min="8" max="8" width="7.42578125" bestFit="1" customWidth="1"/>
    <col min="9" max="9" width="5.42578125" bestFit="1" customWidth="1"/>
    <col min="10" max="10" width="5.5703125" bestFit="1" customWidth="1"/>
    <col min="11" max="11" width="7.42578125" bestFit="1" customWidth="1"/>
    <col min="12" max="12" width="5.42578125" bestFit="1" customWidth="1"/>
    <col min="13" max="13" width="5.28515625" bestFit="1" customWidth="1"/>
    <col min="14" max="14" width="7.42578125" bestFit="1" customWidth="1"/>
    <col min="15" max="15" width="5.42578125" bestFit="1" customWidth="1"/>
    <col min="16" max="16" width="5.28515625" bestFit="1" customWidth="1"/>
    <col min="17" max="17" width="8" bestFit="1" customWidth="1"/>
    <col min="18" max="18" width="8.140625" customWidth="1"/>
    <col min="19" max="19" width="6.85546875" customWidth="1"/>
  </cols>
  <sheetData>
    <row r="1" spans="1:20" x14ac:dyDescent="0.25">
      <c r="S1" s="10" t="s">
        <v>160</v>
      </c>
    </row>
    <row r="2" spans="1:20" x14ac:dyDescent="0.25">
      <c r="A2" s="16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0" x14ac:dyDescent="0.25">
      <c r="A3" s="5"/>
    </row>
    <row r="4" spans="1:20" ht="15" customHeight="1" x14ac:dyDescent="0.25">
      <c r="A4" s="159" t="s">
        <v>0</v>
      </c>
      <c r="B4" s="159" t="s">
        <v>1</v>
      </c>
      <c r="C4" s="159" t="s">
        <v>183</v>
      </c>
      <c r="D4" s="159"/>
      <c r="E4" s="159"/>
      <c r="F4" s="159" t="s">
        <v>184</v>
      </c>
      <c r="G4" s="159"/>
      <c r="H4" s="159"/>
      <c r="I4" s="159" t="s">
        <v>245</v>
      </c>
      <c r="J4" s="159"/>
      <c r="K4" s="159"/>
      <c r="L4" s="159" t="s">
        <v>247</v>
      </c>
      <c r="M4" s="159"/>
      <c r="N4" s="159"/>
      <c r="O4" s="159" t="s">
        <v>258</v>
      </c>
      <c r="P4" s="159"/>
      <c r="Q4" s="159"/>
      <c r="R4" s="159" t="s">
        <v>144</v>
      </c>
      <c r="S4" s="159" t="s">
        <v>109</v>
      </c>
      <c r="T4" s="159" t="s">
        <v>145</v>
      </c>
    </row>
    <row r="5" spans="1:20" ht="45.75" customHeight="1" x14ac:dyDescent="0.25">
      <c r="A5" s="159"/>
      <c r="B5" s="159"/>
      <c r="C5" s="127" t="s">
        <v>2</v>
      </c>
      <c r="D5" s="127" t="s">
        <v>3</v>
      </c>
      <c r="E5" s="127" t="s">
        <v>98</v>
      </c>
      <c r="F5" s="127" t="s">
        <v>2</v>
      </c>
      <c r="G5" s="127" t="s">
        <v>3</v>
      </c>
      <c r="H5" s="127" t="s">
        <v>98</v>
      </c>
      <c r="I5" s="127" t="s">
        <v>2</v>
      </c>
      <c r="J5" s="127" t="s">
        <v>3</v>
      </c>
      <c r="K5" s="127" t="s">
        <v>98</v>
      </c>
      <c r="L5" s="127" t="s">
        <v>2</v>
      </c>
      <c r="M5" s="127" t="s">
        <v>3</v>
      </c>
      <c r="N5" s="127" t="s">
        <v>98</v>
      </c>
      <c r="O5" s="127" t="s">
        <v>2</v>
      </c>
      <c r="P5" s="127" t="s">
        <v>3</v>
      </c>
      <c r="Q5" s="127" t="s">
        <v>98</v>
      </c>
      <c r="R5" s="159"/>
      <c r="S5" s="159"/>
      <c r="T5" s="159"/>
    </row>
    <row r="6" spans="1:20" x14ac:dyDescent="0.25">
      <c r="A6" s="127"/>
      <c r="B6" s="127" t="s">
        <v>200</v>
      </c>
      <c r="C6" s="127"/>
      <c r="D6" s="127"/>
      <c r="E6" s="127"/>
      <c r="F6" s="47">
        <v>12</v>
      </c>
      <c r="G6" s="46">
        <v>1.4</v>
      </c>
      <c r="H6" s="46">
        <v>100</v>
      </c>
      <c r="I6" s="47">
        <v>15</v>
      </c>
      <c r="J6" s="46">
        <v>1.7</v>
      </c>
      <c r="K6" s="46">
        <v>100</v>
      </c>
      <c r="L6" s="47">
        <v>16</v>
      </c>
      <c r="M6" s="46">
        <v>1.8</v>
      </c>
      <c r="N6" s="46">
        <v>100</v>
      </c>
      <c r="O6" s="47">
        <v>10</v>
      </c>
      <c r="P6" s="46">
        <v>1.2</v>
      </c>
      <c r="Q6" s="46">
        <v>100</v>
      </c>
      <c r="R6" s="18">
        <f>P6/M6*100-100</f>
        <v>-33.333333333333343</v>
      </c>
      <c r="S6" s="18">
        <f>SUM(D6,G6,J6,M6,P6)/4</f>
        <v>1.5249999999999999</v>
      </c>
      <c r="T6" s="139">
        <f>P6/S6*100-100</f>
        <v>-21.311475409836063</v>
      </c>
    </row>
    <row r="7" spans="1:20" x14ac:dyDescent="0.25">
      <c r="A7" s="127">
        <v>1</v>
      </c>
      <c r="B7" s="127" t="s">
        <v>36</v>
      </c>
      <c r="C7" s="127"/>
      <c r="D7" s="127"/>
      <c r="E7" s="127"/>
      <c r="F7" s="47">
        <v>9</v>
      </c>
      <c r="G7" s="47">
        <v>1.0999999999999999</v>
      </c>
      <c r="H7" s="47">
        <f>F7/F6*100</f>
        <v>75</v>
      </c>
      <c r="I7" s="47">
        <v>13</v>
      </c>
      <c r="J7" s="47">
        <v>1.5</v>
      </c>
      <c r="K7" s="46">
        <f>I7/I6*100</f>
        <v>86.666666666666671</v>
      </c>
      <c r="L7" s="47">
        <v>15</v>
      </c>
      <c r="M7" s="47">
        <v>1.7</v>
      </c>
      <c r="N7" s="46">
        <f>L7/L6*100</f>
        <v>93.75</v>
      </c>
      <c r="O7" s="47">
        <v>8</v>
      </c>
      <c r="P7" s="47">
        <v>1</v>
      </c>
      <c r="Q7" s="46">
        <f>O7/O6*100</f>
        <v>80</v>
      </c>
      <c r="R7" s="18">
        <f t="shared" ref="R7:R11" si="0">P7/M7*100-100</f>
        <v>-41.17647058823529</v>
      </c>
      <c r="S7" s="18">
        <f t="shared" ref="S7:S11" si="1">SUM(D7,G7,J7,M7,P7)/4</f>
        <v>1.325</v>
      </c>
      <c r="T7" s="139">
        <f t="shared" ref="T7:T11" si="2">P7/S7*100-100</f>
        <v>-24.528301886792448</v>
      </c>
    </row>
    <row r="8" spans="1:20" ht="30" x14ac:dyDescent="0.25">
      <c r="A8" s="127">
        <v>2</v>
      </c>
      <c r="B8" s="127" t="s">
        <v>201</v>
      </c>
      <c r="C8" s="127"/>
      <c r="D8" s="127"/>
      <c r="E8" s="127"/>
      <c r="F8" s="47"/>
      <c r="G8" s="46"/>
      <c r="H8" s="46"/>
      <c r="I8" s="47"/>
      <c r="J8" s="46"/>
      <c r="K8" s="46"/>
      <c r="L8" s="47"/>
      <c r="M8" s="46"/>
      <c r="N8" s="46"/>
      <c r="O8" s="47"/>
      <c r="P8" s="46"/>
      <c r="Q8" s="46"/>
      <c r="R8" s="18"/>
      <c r="S8" s="18"/>
      <c r="T8" s="139"/>
    </row>
    <row r="9" spans="1:20" ht="30" x14ac:dyDescent="0.25">
      <c r="A9" s="127">
        <v>3</v>
      </c>
      <c r="B9" s="127" t="s">
        <v>202</v>
      </c>
      <c r="C9" s="127"/>
      <c r="D9" s="127"/>
      <c r="E9" s="127"/>
      <c r="F9" s="47"/>
      <c r="G9" s="46"/>
      <c r="H9" s="46"/>
      <c r="I9" s="47"/>
      <c r="J9" s="46"/>
      <c r="K9" s="46"/>
      <c r="L9" s="47"/>
      <c r="M9" s="46"/>
      <c r="N9" s="46"/>
      <c r="O9" s="47"/>
      <c r="P9" s="46"/>
      <c r="Q9" s="46"/>
      <c r="R9" s="18"/>
      <c r="S9" s="18"/>
      <c r="T9" s="139"/>
    </row>
    <row r="10" spans="1:20" x14ac:dyDescent="0.25">
      <c r="A10" s="127">
        <v>4</v>
      </c>
      <c r="B10" s="127" t="s">
        <v>155</v>
      </c>
      <c r="C10" s="127"/>
      <c r="D10" s="127"/>
      <c r="E10" s="127"/>
      <c r="F10" s="47">
        <v>3</v>
      </c>
      <c r="G10" s="46">
        <v>0.3</v>
      </c>
      <c r="H10" s="47">
        <f>F10/F6*100</f>
        <v>25</v>
      </c>
      <c r="I10" s="47">
        <v>2</v>
      </c>
      <c r="J10" s="46">
        <v>0.2</v>
      </c>
      <c r="K10" s="46">
        <f>I10/I6*100</f>
        <v>13.333333333333334</v>
      </c>
      <c r="L10" s="47">
        <v>1</v>
      </c>
      <c r="M10" s="46">
        <v>0.1</v>
      </c>
      <c r="N10" s="46">
        <v>6.2</v>
      </c>
      <c r="O10" s="47">
        <v>2</v>
      </c>
      <c r="P10" s="46">
        <v>0.2</v>
      </c>
      <c r="Q10" s="46">
        <f>O10/O6*100</f>
        <v>20</v>
      </c>
      <c r="R10" s="18">
        <f t="shared" si="0"/>
        <v>100</v>
      </c>
      <c r="S10" s="18">
        <f t="shared" si="1"/>
        <v>0.2</v>
      </c>
      <c r="T10" s="139">
        <f t="shared" si="2"/>
        <v>0</v>
      </c>
    </row>
    <row r="11" spans="1:20" ht="30" x14ac:dyDescent="0.25">
      <c r="A11" s="127">
        <v>5</v>
      </c>
      <c r="B11" s="127" t="s">
        <v>203</v>
      </c>
      <c r="C11" s="127"/>
      <c r="D11" s="127"/>
      <c r="E11" s="127"/>
      <c r="F11" s="47">
        <v>3</v>
      </c>
      <c r="G11" s="46">
        <v>0.3</v>
      </c>
      <c r="H11" s="47">
        <f>F11/F6*100</f>
        <v>25</v>
      </c>
      <c r="I11" s="47">
        <v>2</v>
      </c>
      <c r="J11" s="46">
        <v>0.2</v>
      </c>
      <c r="K11" s="46">
        <f>I11/I6*100</f>
        <v>13.333333333333334</v>
      </c>
      <c r="L11" s="47">
        <v>1</v>
      </c>
      <c r="M11" s="46">
        <v>0.1</v>
      </c>
      <c r="N11" s="46">
        <v>6.2</v>
      </c>
      <c r="O11" s="47">
        <v>2</v>
      </c>
      <c r="P11" s="46">
        <v>0.2</v>
      </c>
      <c r="Q11" s="46">
        <f>O11/O6*100</f>
        <v>20</v>
      </c>
      <c r="R11" s="18">
        <f t="shared" si="0"/>
        <v>100</v>
      </c>
      <c r="S11" s="18">
        <f t="shared" si="1"/>
        <v>0.2</v>
      </c>
      <c r="T11" s="139">
        <f t="shared" si="2"/>
        <v>0</v>
      </c>
    </row>
  </sheetData>
  <mergeCells count="10">
    <mergeCell ref="T4:T5"/>
    <mergeCell ref="O4:Q4"/>
    <mergeCell ref="L4:N4"/>
    <mergeCell ref="R4:R5"/>
    <mergeCell ref="S4:S5"/>
    <mergeCell ref="A4:A5"/>
    <mergeCell ref="B4:B5"/>
    <mergeCell ref="C4:E4"/>
    <mergeCell ref="F4:H4"/>
    <mergeCell ref="I4:K4"/>
  </mergeCells>
  <pageMargins left="0.98425196850393704" right="0.98425196850393704" top="0.98425196850393704" bottom="0.98425196850393704" header="0.51181102362204722" footer="0.51181102362204722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"/>
  <sheetViews>
    <sheetView view="pageBreakPreview" zoomScale="130" zoomScaleNormal="90" zoomScaleSheetLayoutView="130" workbookViewId="0">
      <selection activeCell="L17" sqref="L17"/>
    </sheetView>
  </sheetViews>
  <sheetFormatPr defaultColWidth="8.85546875" defaultRowHeight="12.75" x14ac:dyDescent="0.2"/>
  <cols>
    <col min="1" max="1" width="3.7109375" style="8" customWidth="1"/>
    <col min="2" max="2" width="18.28515625" style="8" customWidth="1"/>
    <col min="3" max="3" width="0.140625" style="8" customWidth="1"/>
    <col min="4" max="4" width="7.7109375" style="8" hidden="1" customWidth="1"/>
    <col min="5" max="12" width="7.7109375" style="8" customWidth="1"/>
    <col min="13" max="14" width="9.42578125" style="8" customWidth="1"/>
    <col min="15" max="15" width="13.28515625" style="8" customWidth="1"/>
    <col min="16" max="16384" width="8.85546875" style="8"/>
  </cols>
  <sheetData>
    <row r="1" spans="1:16" x14ac:dyDescent="0.2">
      <c r="N1" s="22" t="s">
        <v>162</v>
      </c>
    </row>
    <row r="2" spans="1:16" x14ac:dyDescent="0.2">
      <c r="A2" s="23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6" x14ac:dyDescent="0.2">
      <c r="A3" s="9"/>
    </row>
    <row r="4" spans="1:16" ht="27.75" customHeight="1" x14ac:dyDescent="0.2">
      <c r="A4" s="166" t="s">
        <v>0</v>
      </c>
      <c r="B4" s="166" t="s">
        <v>1</v>
      </c>
      <c r="C4" s="166" t="s">
        <v>183</v>
      </c>
      <c r="D4" s="166"/>
      <c r="E4" s="166" t="s">
        <v>184</v>
      </c>
      <c r="F4" s="166"/>
      <c r="G4" s="166" t="s">
        <v>245</v>
      </c>
      <c r="H4" s="166"/>
      <c r="I4" s="166" t="s">
        <v>247</v>
      </c>
      <c r="J4" s="166"/>
      <c r="K4" s="166" t="s">
        <v>258</v>
      </c>
      <c r="L4" s="166"/>
      <c r="M4" s="159" t="s">
        <v>144</v>
      </c>
      <c r="N4" s="159" t="s">
        <v>109</v>
      </c>
      <c r="O4" s="159" t="s">
        <v>145</v>
      </c>
    </row>
    <row r="5" spans="1:16" ht="15.75" customHeight="1" x14ac:dyDescent="0.2">
      <c r="A5" s="166"/>
      <c r="B5" s="166"/>
      <c r="C5" s="85" t="s">
        <v>2</v>
      </c>
      <c r="D5" s="85" t="s">
        <v>3</v>
      </c>
      <c r="E5" s="85" t="s">
        <v>2</v>
      </c>
      <c r="F5" s="85" t="s">
        <v>3</v>
      </c>
      <c r="G5" s="85" t="s">
        <v>2</v>
      </c>
      <c r="H5" s="85" t="s">
        <v>3</v>
      </c>
      <c r="I5" s="85" t="s">
        <v>2</v>
      </c>
      <c r="J5" s="85" t="s">
        <v>3</v>
      </c>
      <c r="K5" s="85" t="s">
        <v>2</v>
      </c>
      <c r="L5" s="85" t="s">
        <v>3</v>
      </c>
      <c r="M5" s="159"/>
      <c r="N5" s="159"/>
      <c r="O5" s="159"/>
    </row>
    <row r="6" spans="1:16" ht="30" x14ac:dyDescent="0.2">
      <c r="A6" s="127">
        <v>1</v>
      </c>
      <c r="B6" s="84" t="s">
        <v>204</v>
      </c>
      <c r="C6" s="127"/>
      <c r="D6" s="127"/>
      <c r="E6" s="127">
        <v>35</v>
      </c>
      <c r="F6" s="127">
        <v>7.9</v>
      </c>
      <c r="G6" s="47">
        <v>38</v>
      </c>
      <c r="H6" s="142">
        <v>8.6999999999999993</v>
      </c>
      <c r="I6" s="47">
        <v>42</v>
      </c>
      <c r="J6" s="143">
        <v>9.4</v>
      </c>
      <c r="K6" s="47">
        <v>34</v>
      </c>
      <c r="L6" s="143">
        <v>7.5</v>
      </c>
      <c r="M6" s="18">
        <f t="shared" ref="M6:M16" si="0">L6/J6*100-100</f>
        <v>-20.212765957446805</v>
      </c>
      <c r="N6" s="18">
        <f>ROUND((SUM(F6,H6,J6,L6)/4),1)</f>
        <v>8.4</v>
      </c>
      <c r="O6" s="139">
        <f>L6/N6*100-100</f>
        <v>-10.714285714285722</v>
      </c>
    </row>
    <row r="7" spans="1:16" ht="30" x14ac:dyDescent="0.2">
      <c r="A7" s="127">
        <v>2</v>
      </c>
      <c r="B7" s="84" t="s">
        <v>20</v>
      </c>
      <c r="C7" s="127"/>
      <c r="D7" s="127"/>
      <c r="E7" s="127">
        <v>9</v>
      </c>
      <c r="F7" s="127">
        <v>2</v>
      </c>
      <c r="G7" s="47">
        <v>13</v>
      </c>
      <c r="H7" s="142">
        <v>3</v>
      </c>
      <c r="I7" s="47">
        <v>13</v>
      </c>
      <c r="J7" s="142">
        <v>2.9</v>
      </c>
      <c r="K7" s="47">
        <v>6</v>
      </c>
      <c r="L7" s="142">
        <v>1.3</v>
      </c>
      <c r="M7" s="18">
        <f t="shared" si="0"/>
        <v>-55.172413793103445</v>
      </c>
      <c r="N7" s="18">
        <f t="shared" ref="N7:N16" si="1">ROUND((SUM(F7,H7,J7,L7)/4),1)</f>
        <v>2.2999999999999998</v>
      </c>
      <c r="O7" s="139">
        <f t="shared" ref="O7:O16" si="2">L7/N7*100-100</f>
        <v>-43.478260869565212</v>
      </c>
      <c r="P7" s="15"/>
    </row>
    <row r="8" spans="1:16" ht="30" x14ac:dyDescent="0.2">
      <c r="A8" s="127">
        <v>3</v>
      </c>
      <c r="B8" s="84" t="s">
        <v>22</v>
      </c>
      <c r="C8" s="127"/>
      <c r="D8" s="127"/>
      <c r="E8" s="127">
        <v>7</v>
      </c>
      <c r="F8" s="127">
        <v>1.6</v>
      </c>
      <c r="G8" s="47">
        <v>7</v>
      </c>
      <c r="H8" s="142">
        <v>1.6</v>
      </c>
      <c r="I8" s="47">
        <v>9</v>
      </c>
      <c r="J8" s="142">
        <v>2</v>
      </c>
      <c r="K8" s="47">
        <v>6</v>
      </c>
      <c r="L8" s="142">
        <v>1.3</v>
      </c>
      <c r="M8" s="18">
        <f t="shared" si="0"/>
        <v>-35</v>
      </c>
      <c r="N8" s="18">
        <f t="shared" si="1"/>
        <v>1.6</v>
      </c>
      <c r="O8" s="139">
        <f t="shared" si="2"/>
        <v>-18.75</v>
      </c>
      <c r="P8" s="15"/>
    </row>
    <row r="9" spans="1:16" ht="30" x14ac:dyDescent="0.2">
      <c r="A9" s="127">
        <v>4</v>
      </c>
      <c r="B9" s="84" t="s">
        <v>26</v>
      </c>
      <c r="C9" s="127"/>
      <c r="D9" s="127"/>
      <c r="E9" s="127">
        <v>5</v>
      </c>
      <c r="F9" s="127">
        <v>0.4</v>
      </c>
      <c r="G9" s="47">
        <v>7</v>
      </c>
      <c r="H9" s="142">
        <v>1.6</v>
      </c>
      <c r="I9" s="47">
        <v>7</v>
      </c>
      <c r="J9" s="142">
        <v>1.6</v>
      </c>
      <c r="K9" s="47">
        <v>4</v>
      </c>
      <c r="L9" s="142">
        <v>0.9</v>
      </c>
      <c r="M9" s="18">
        <f t="shared" si="0"/>
        <v>-43.75</v>
      </c>
      <c r="N9" s="18">
        <f t="shared" si="1"/>
        <v>1.1000000000000001</v>
      </c>
      <c r="O9" s="139">
        <f t="shared" si="2"/>
        <v>-18.181818181818187</v>
      </c>
      <c r="P9" s="15"/>
    </row>
    <row r="10" spans="1:16" ht="15" x14ac:dyDescent="0.2">
      <c r="A10" s="127">
        <v>5</v>
      </c>
      <c r="B10" s="84" t="s">
        <v>205</v>
      </c>
      <c r="C10" s="127"/>
      <c r="D10" s="127"/>
      <c r="E10" s="127">
        <v>3</v>
      </c>
      <c r="F10" s="127">
        <v>0.7</v>
      </c>
      <c r="G10" s="47">
        <v>0</v>
      </c>
      <c r="H10" s="142">
        <v>0</v>
      </c>
      <c r="I10" s="47">
        <v>3</v>
      </c>
      <c r="J10" s="142">
        <v>0.7</v>
      </c>
      <c r="K10" s="47">
        <v>0</v>
      </c>
      <c r="L10" s="142">
        <v>0</v>
      </c>
      <c r="M10" s="18">
        <f t="shared" si="0"/>
        <v>-100</v>
      </c>
      <c r="N10" s="18">
        <f t="shared" si="1"/>
        <v>0.4</v>
      </c>
      <c r="O10" s="139">
        <f t="shared" si="2"/>
        <v>-100</v>
      </c>
      <c r="P10" s="15"/>
    </row>
    <row r="11" spans="1:16" ht="30" x14ac:dyDescent="0.2">
      <c r="A11" s="127">
        <v>6</v>
      </c>
      <c r="B11" s="84" t="s">
        <v>206</v>
      </c>
      <c r="C11" s="127"/>
      <c r="D11" s="127"/>
      <c r="E11" s="127">
        <v>0</v>
      </c>
      <c r="F11" s="127">
        <v>0</v>
      </c>
      <c r="G11" s="47">
        <v>3</v>
      </c>
      <c r="H11" s="142">
        <v>0.7</v>
      </c>
      <c r="I11" s="47">
        <v>1</v>
      </c>
      <c r="J11" s="142">
        <v>0.2</v>
      </c>
      <c r="K11" s="47">
        <v>1</v>
      </c>
      <c r="L11" s="142">
        <v>0.2</v>
      </c>
      <c r="M11" s="18">
        <f t="shared" si="0"/>
        <v>0</v>
      </c>
      <c r="N11" s="18">
        <f t="shared" si="1"/>
        <v>0.3</v>
      </c>
      <c r="O11" s="139">
        <f t="shared" si="2"/>
        <v>-33.333333333333329</v>
      </c>
      <c r="P11" s="15"/>
    </row>
    <row r="12" spans="1:16" ht="15" x14ac:dyDescent="0.2">
      <c r="A12" s="127">
        <v>7</v>
      </c>
      <c r="B12" s="84" t="s">
        <v>207</v>
      </c>
      <c r="C12" s="127"/>
      <c r="D12" s="127"/>
      <c r="E12" s="127">
        <v>0</v>
      </c>
      <c r="F12" s="127">
        <v>0</v>
      </c>
      <c r="G12" s="47">
        <v>3</v>
      </c>
      <c r="H12" s="142">
        <v>0.7</v>
      </c>
      <c r="I12" s="47">
        <v>1</v>
      </c>
      <c r="J12" s="142">
        <v>0.2</v>
      </c>
      <c r="K12" s="47">
        <v>1</v>
      </c>
      <c r="L12" s="142">
        <v>0.2</v>
      </c>
      <c r="M12" s="18">
        <f t="shared" si="0"/>
        <v>0</v>
      </c>
      <c r="N12" s="18">
        <f t="shared" si="1"/>
        <v>0.3</v>
      </c>
      <c r="O12" s="139">
        <f t="shared" si="2"/>
        <v>-33.333333333333329</v>
      </c>
      <c r="P12" s="15"/>
    </row>
    <row r="13" spans="1:16" ht="30" x14ac:dyDescent="0.2">
      <c r="A13" s="127">
        <v>8</v>
      </c>
      <c r="B13" s="84" t="s">
        <v>21</v>
      </c>
      <c r="C13" s="127"/>
      <c r="D13" s="127"/>
      <c r="E13" s="127">
        <v>4</v>
      </c>
      <c r="F13" s="127">
        <v>0.9</v>
      </c>
      <c r="G13" s="47">
        <v>4</v>
      </c>
      <c r="H13" s="142">
        <v>0.9</v>
      </c>
      <c r="I13" s="47">
        <v>3</v>
      </c>
      <c r="J13" s="142">
        <v>0.7</v>
      </c>
      <c r="K13" s="47">
        <v>6</v>
      </c>
      <c r="L13" s="142">
        <v>1.3</v>
      </c>
      <c r="M13" s="18">
        <f t="shared" si="0"/>
        <v>85.714285714285751</v>
      </c>
      <c r="N13" s="18">
        <f t="shared" si="1"/>
        <v>1</v>
      </c>
      <c r="O13" s="139">
        <f t="shared" si="2"/>
        <v>30</v>
      </c>
      <c r="P13" s="15"/>
    </row>
    <row r="14" spans="1:16" ht="30" x14ac:dyDescent="0.2">
      <c r="A14" s="127">
        <v>9</v>
      </c>
      <c r="B14" s="84" t="s">
        <v>23</v>
      </c>
      <c r="C14" s="127"/>
      <c r="D14" s="127"/>
      <c r="E14" s="127">
        <v>6</v>
      </c>
      <c r="F14" s="127">
        <v>1.4</v>
      </c>
      <c r="G14" s="47">
        <v>2</v>
      </c>
      <c r="H14" s="142">
        <v>0.5</v>
      </c>
      <c r="I14" s="47">
        <v>2</v>
      </c>
      <c r="J14" s="142">
        <v>0.4</v>
      </c>
      <c r="K14" s="47">
        <v>5</v>
      </c>
      <c r="L14" s="142">
        <v>1.1000000000000001</v>
      </c>
      <c r="M14" s="18" t="s">
        <v>279</v>
      </c>
      <c r="N14" s="18">
        <f t="shared" si="1"/>
        <v>0.9</v>
      </c>
      <c r="O14" s="139">
        <f t="shared" si="2"/>
        <v>22.222222222222229</v>
      </c>
      <c r="P14" s="15"/>
    </row>
    <row r="15" spans="1:16" ht="45" x14ac:dyDescent="0.2">
      <c r="A15" s="127">
        <v>10</v>
      </c>
      <c r="B15" s="84" t="s">
        <v>28</v>
      </c>
      <c r="C15" s="127"/>
      <c r="D15" s="127"/>
      <c r="E15" s="127">
        <v>0</v>
      </c>
      <c r="F15" s="127">
        <v>0</v>
      </c>
      <c r="G15" s="30">
        <v>0</v>
      </c>
      <c r="H15" s="142">
        <v>0</v>
      </c>
      <c r="I15" s="30">
        <v>0</v>
      </c>
      <c r="J15" s="142">
        <v>0</v>
      </c>
      <c r="K15" s="30">
        <v>0</v>
      </c>
      <c r="L15" s="142">
        <v>0</v>
      </c>
      <c r="M15" s="18">
        <v>0</v>
      </c>
      <c r="N15" s="18">
        <f t="shared" si="1"/>
        <v>0</v>
      </c>
      <c r="O15" s="139">
        <v>0</v>
      </c>
    </row>
    <row r="16" spans="1:16" ht="15" x14ac:dyDescent="0.2">
      <c r="A16" s="127">
        <v>11</v>
      </c>
      <c r="B16" s="93" t="s">
        <v>29</v>
      </c>
      <c r="C16" s="127"/>
      <c r="D16" s="127"/>
      <c r="E16" s="127">
        <v>4</v>
      </c>
      <c r="F16" s="127">
        <v>1.6000000000000003</v>
      </c>
      <c r="G16" s="127">
        <v>2</v>
      </c>
      <c r="H16" s="127">
        <v>0.39999999999999925</v>
      </c>
      <c r="I16" s="127">
        <v>7</v>
      </c>
      <c r="J16" s="127">
        <v>1.5999999999999992</v>
      </c>
      <c r="K16" s="127">
        <v>6</v>
      </c>
      <c r="L16" s="18">
        <v>1.3</v>
      </c>
      <c r="M16" s="18">
        <f t="shared" si="0"/>
        <v>-18.749999999999957</v>
      </c>
      <c r="N16" s="18">
        <f t="shared" si="1"/>
        <v>1.2</v>
      </c>
      <c r="O16" s="139">
        <f t="shared" si="2"/>
        <v>8.3333333333333428</v>
      </c>
    </row>
  </sheetData>
  <mergeCells count="10">
    <mergeCell ref="O4:O5"/>
    <mergeCell ref="M4:M5"/>
    <mergeCell ref="N4:N5"/>
    <mergeCell ref="A4:A5"/>
    <mergeCell ref="B4:B5"/>
    <mergeCell ref="C4:D4"/>
    <mergeCell ref="E4:F4"/>
    <mergeCell ref="K4:L4"/>
    <mergeCell ref="I4:J4"/>
    <mergeCell ref="G4:H4"/>
  </mergeCells>
  <pageMargins left="0.98425196850393704" right="0.98425196850393704" top="0.98425196850393704" bottom="0.98425196850393704" header="0.51181102362204722" footer="0.51181102362204722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view="pageBreakPreview" zoomScale="150" zoomScaleSheetLayoutView="150" workbookViewId="0">
      <selection activeCell="G12" sqref="G12"/>
    </sheetView>
  </sheetViews>
  <sheetFormatPr defaultColWidth="8.85546875" defaultRowHeight="12.75" x14ac:dyDescent="0.2"/>
  <cols>
    <col min="1" max="1" width="3.7109375" style="8" customWidth="1"/>
    <col min="2" max="2" width="18.42578125" style="8" customWidth="1"/>
    <col min="3" max="12" width="8.28515625" style="8" customWidth="1"/>
    <col min="13" max="16384" width="8.85546875" style="8"/>
  </cols>
  <sheetData>
    <row r="1" spans="1:14" x14ac:dyDescent="0.2">
      <c r="N1" s="22" t="s">
        <v>163</v>
      </c>
    </row>
    <row r="2" spans="1:14" x14ac:dyDescent="0.2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">
      <c r="A3" s="7"/>
    </row>
    <row r="4" spans="1:14" ht="37.5" customHeight="1" x14ac:dyDescent="0.2">
      <c r="A4" s="167" t="s">
        <v>0</v>
      </c>
      <c r="B4" s="167" t="s">
        <v>1</v>
      </c>
      <c r="C4" s="167" t="s">
        <v>183</v>
      </c>
      <c r="D4" s="167"/>
      <c r="E4" s="167" t="s">
        <v>184</v>
      </c>
      <c r="F4" s="167"/>
      <c r="G4" s="167" t="s">
        <v>245</v>
      </c>
      <c r="H4" s="167"/>
      <c r="I4" s="167" t="s">
        <v>247</v>
      </c>
      <c r="J4" s="167"/>
      <c r="K4" s="167" t="s">
        <v>258</v>
      </c>
      <c r="L4" s="167"/>
      <c r="M4" s="159" t="s">
        <v>144</v>
      </c>
      <c r="N4" s="159" t="s">
        <v>109</v>
      </c>
    </row>
    <row r="5" spans="1:14" ht="15.75" customHeight="1" x14ac:dyDescent="0.2">
      <c r="A5" s="167"/>
      <c r="B5" s="167"/>
      <c r="C5" s="86" t="s">
        <v>2</v>
      </c>
      <c r="D5" s="86" t="s">
        <v>3</v>
      </c>
      <c r="E5" s="86" t="s">
        <v>2</v>
      </c>
      <c r="F5" s="86" t="s">
        <v>3</v>
      </c>
      <c r="G5" s="86" t="s">
        <v>2</v>
      </c>
      <c r="H5" s="86" t="s">
        <v>3</v>
      </c>
      <c r="I5" s="86" t="s">
        <v>2</v>
      </c>
      <c r="J5" s="86" t="s">
        <v>3</v>
      </c>
      <c r="K5" s="11" t="s">
        <v>2</v>
      </c>
      <c r="L5" s="11" t="s">
        <v>3</v>
      </c>
      <c r="M5" s="159"/>
      <c r="N5" s="159"/>
    </row>
    <row r="6" spans="1:14" ht="25.5" x14ac:dyDescent="0.2">
      <c r="A6" s="11"/>
      <c r="B6" s="11" t="s">
        <v>40</v>
      </c>
      <c r="C6" s="49">
        <v>0</v>
      </c>
      <c r="D6" s="52">
        <v>0</v>
      </c>
      <c r="E6" s="49">
        <v>0</v>
      </c>
      <c r="F6" s="52">
        <f>E6*1000/521</f>
        <v>0</v>
      </c>
      <c r="G6" s="49">
        <v>0</v>
      </c>
      <c r="H6" s="52">
        <v>0</v>
      </c>
      <c r="I6" s="49">
        <v>0</v>
      </c>
      <c r="J6" s="52">
        <v>0</v>
      </c>
      <c r="K6" s="49">
        <v>0</v>
      </c>
      <c r="L6" s="52">
        <v>0</v>
      </c>
      <c r="M6" s="12">
        <v>0</v>
      </c>
      <c r="N6" s="12">
        <f>SUM(D6,F6,H6,J6,L6)/5</f>
        <v>0</v>
      </c>
    </row>
    <row r="7" spans="1:14" ht="25.5" x14ac:dyDescent="0.2">
      <c r="A7" s="11">
        <v>1</v>
      </c>
      <c r="B7" s="11" t="s">
        <v>41</v>
      </c>
      <c r="C7" s="49"/>
      <c r="D7" s="52"/>
      <c r="E7" s="49"/>
      <c r="F7" s="52"/>
      <c r="G7" s="49"/>
      <c r="H7" s="52"/>
      <c r="I7" s="49"/>
      <c r="J7" s="52"/>
      <c r="K7" s="49"/>
      <c r="L7" s="52"/>
      <c r="M7" s="12"/>
      <c r="N7" s="12">
        <f t="shared" ref="N7:N14" si="0">SUM(D7,F7,H7,J7,L7)/5</f>
        <v>0</v>
      </c>
    </row>
    <row r="8" spans="1:14" ht="25.5" x14ac:dyDescent="0.2">
      <c r="A8" s="11">
        <v>2</v>
      </c>
      <c r="B8" s="11" t="s">
        <v>42</v>
      </c>
      <c r="C8" s="49"/>
      <c r="D8" s="52"/>
      <c r="E8" s="49"/>
      <c r="F8" s="52"/>
      <c r="G8" s="49"/>
      <c r="H8" s="52"/>
      <c r="I8" s="49"/>
      <c r="J8" s="52"/>
      <c r="K8" s="49"/>
      <c r="L8" s="52"/>
      <c r="M8" s="12"/>
      <c r="N8" s="12">
        <f t="shared" si="0"/>
        <v>0</v>
      </c>
    </row>
    <row r="9" spans="1:14" x14ac:dyDescent="0.2">
      <c r="A9" s="11">
        <v>3</v>
      </c>
      <c r="B9" s="11" t="s">
        <v>43</v>
      </c>
      <c r="C9" s="49"/>
      <c r="D9" s="52"/>
      <c r="E9" s="49"/>
      <c r="F9" s="52"/>
      <c r="G9" s="49"/>
      <c r="H9" s="52"/>
      <c r="I9" s="49"/>
      <c r="J9" s="52"/>
      <c r="K9" s="49"/>
      <c r="L9" s="52"/>
      <c r="M9" s="12"/>
      <c r="N9" s="12">
        <f t="shared" si="0"/>
        <v>0</v>
      </c>
    </row>
    <row r="10" spans="1:14" x14ac:dyDescent="0.2">
      <c r="A10" s="11">
        <v>4</v>
      </c>
      <c r="B10" s="11" t="s">
        <v>44</v>
      </c>
      <c r="C10" s="49"/>
      <c r="D10" s="52"/>
      <c r="E10" s="49"/>
      <c r="F10" s="52"/>
      <c r="G10" s="49"/>
      <c r="H10" s="52"/>
      <c r="I10" s="49"/>
      <c r="J10" s="52"/>
      <c r="K10" s="49"/>
      <c r="L10" s="52"/>
      <c r="M10" s="12"/>
      <c r="N10" s="12">
        <f t="shared" si="0"/>
        <v>0</v>
      </c>
    </row>
    <row r="11" spans="1:14" x14ac:dyDescent="0.2">
      <c r="A11" s="11">
        <v>5</v>
      </c>
      <c r="B11" s="11" t="s">
        <v>45</v>
      </c>
      <c r="C11" s="49"/>
      <c r="D11" s="52"/>
      <c r="E11" s="49"/>
      <c r="F11" s="52"/>
      <c r="G11" s="49"/>
      <c r="H11" s="52"/>
      <c r="I11" s="49"/>
      <c r="J11" s="52"/>
      <c r="K11" s="49"/>
      <c r="L11" s="52"/>
      <c r="M11" s="12"/>
      <c r="N11" s="12">
        <f t="shared" si="0"/>
        <v>0</v>
      </c>
    </row>
    <row r="12" spans="1:14" x14ac:dyDescent="0.2">
      <c r="A12" s="11">
        <v>6</v>
      </c>
      <c r="B12" s="43" t="s">
        <v>182</v>
      </c>
      <c r="C12" s="49"/>
      <c r="D12" s="52"/>
      <c r="E12" s="49"/>
      <c r="F12" s="52"/>
      <c r="G12" s="49"/>
      <c r="H12" s="52"/>
      <c r="I12" s="49"/>
      <c r="J12" s="52"/>
      <c r="K12" s="49"/>
      <c r="L12" s="52"/>
      <c r="M12" s="12"/>
      <c r="N12" s="12">
        <f t="shared" si="0"/>
        <v>0</v>
      </c>
    </row>
    <row r="13" spans="1:14" ht="51" x14ac:dyDescent="0.2">
      <c r="A13" s="11">
        <v>7</v>
      </c>
      <c r="B13" s="11" t="s">
        <v>46</v>
      </c>
      <c r="C13" s="49"/>
      <c r="D13" s="52"/>
      <c r="E13" s="49"/>
      <c r="F13" s="52"/>
      <c r="G13" s="49"/>
      <c r="H13" s="52"/>
      <c r="I13" s="49"/>
      <c r="J13" s="52"/>
      <c r="K13" s="49"/>
      <c r="L13" s="52"/>
      <c r="M13" s="12"/>
      <c r="N13" s="12">
        <f t="shared" si="0"/>
        <v>0</v>
      </c>
    </row>
    <row r="14" spans="1:14" x14ac:dyDescent="0.2">
      <c r="A14" s="11">
        <v>8</v>
      </c>
      <c r="B14" s="11" t="s">
        <v>29</v>
      </c>
      <c r="C14" s="49"/>
      <c r="D14" s="52"/>
      <c r="E14" s="49"/>
      <c r="F14" s="52"/>
      <c r="G14" s="49"/>
      <c r="H14" s="52"/>
      <c r="I14" s="49"/>
      <c r="J14" s="52"/>
      <c r="K14" s="49"/>
      <c r="L14" s="52"/>
      <c r="M14" s="12"/>
      <c r="N14" s="12">
        <f t="shared" si="0"/>
        <v>0</v>
      </c>
    </row>
  </sheetData>
  <mergeCells count="9">
    <mergeCell ref="M4:M5"/>
    <mergeCell ref="N4:N5"/>
    <mergeCell ref="K4:L4"/>
    <mergeCell ref="A4:A5"/>
    <mergeCell ref="B4:B5"/>
    <mergeCell ref="C4:D4"/>
    <mergeCell ref="E4:F4"/>
    <mergeCell ref="G4:H4"/>
    <mergeCell ref="I4:J4"/>
  </mergeCells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8"/>
  <sheetViews>
    <sheetView tabSelected="1" view="pageBreakPreview" zoomScaleNormal="130" zoomScaleSheetLayoutView="100" workbookViewId="0">
      <selection activeCell="B17" sqref="B17"/>
    </sheetView>
  </sheetViews>
  <sheetFormatPr defaultColWidth="8.85546875" defaultRowHeight="12.75" x14ac:dyDescent="0.2"/>
  <cols>
    <col min="1" max="1" width="3.28515625" style="8" customWidth="1"/>
    <col min="2" max="2" width="15.28515625" style="8" customWidth="1"/>
    <col min="3" max="3" width="6.28515625" style="8" customWidth="1"/>
    <col min="4" max="4" width="5.42578125" style="8" customWidth="1"/>
    <col min="5" max="5" width="6.7109375" style="8" customWidth="1"/>
    <col min="6" max="6" width="8.140625" style="8" customWidth="1"/>
    <col min="7" max="7" width="5.7109375" style="8" customWidth="1"/>
    <col min="8" max="8" width="6.7109375" style="8" customWidth="1"/>
    <col min="9" max="9" width="6.85546875" style="8" customWidth="1"/>
    <col min="10" max="10" width="7.28515625" style="8" customWidth="1"/>
    <col min="11" max="11" width="8.5703125" style="8" customWidth="1"/>
    <col min="12" max="12" width="7" style="8" customWidth="1"/>
    <col min="13" max="13" width="8.7109375" style="8" customWidth="1"/>
    <col min="14" max="18" width="6.7109375" style="8" customWidth="1"/>
    <col min="19" max="19" width="9.140625" style="8" customWidth="1"/>
    <col min="20" max="16384" width="8.85546875" style="8"/>
  </cols>
  <sheetData>
    <row r="1" spans="1:26" x14ac:dyDescent="0.2">
      <c r="S1" s="22" t="s">
        <v>164</v>
      </c>
    </row>
    <row r="2" spans="1:26" x14ac:dyDescent="0.2">
      <c r="A2" s="23" t="s">
        <v>49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6" ht="48" customHeight="1" x14ac:dyDescent="0.2">
      <c r="A3" s="166" t="s">
        <v>0</v>
      </c>
      <c r="B3" s="166" t="s">
        <v>1</v>
      </c>
      <c r="C3" s="166" t="s">
        <v>183</v>
      </c>
      <c r="D3" s="159"/>
      <c r="E3" s="159"/>
      <c r="F3" s="168" t="s">
        <v>184</v>
      </c>
      <c r="G3" s="170"/>
      <c r="H3" s="170"/>
      <c r="I3" s="168" t="s">
        <v>245</v>
      </c>
      <c r="J3" s="168"/>
      <c r="K3" s="168"/>
      <c r="L3" s="168" t="s">
        <v>247</v>
      </c>
      <c r="M3" s="168" t="s">
        <v>247</v>
      </c>
      <c r="N3" s="168"/>
      <c r="O3" s="168" t="s">
        <v>258</v>
      </c>
      <c r="P3" s="168" t="s">
        <v>247</v>
      </c>
      <c r="Q3" s="168"/>
      <c r="R3" s="159" t="s">
        <v>264</v>
      </c>
      <c r="S3" s="159" t="s">
        <v>109</v>
      </c>
      <c r="T3" s="159" t="s">
        <v>145</v>
      </c>
      <c r="U3" s="8" t="s">
        <v>248</v>
      </c>
      <c r="W3" s="8" t="s">
        <v>249</v>
      </c>
      <c r="Y3" s="8" t="s">
        <v>250</v>
      </c>
    </row>
    <row r="4" spans="1:26" x14ac:dyDescent="0.2">
      <c r="A4" s="166"/>
      <c r="B4" s="166"/>
      <c r="C4" s="128" t="s">
        <v>2</v>
      </c>
      <c r="D4" s="128" t="s">
        <v>3</v>
      </c>
      <c r="E4" s="128" t="s">
        <v>98</v>
      </c>
      <c r="F4" s="128" t="s">
        <v>2</v>
      </c>
      <c r="G4" s="128" t="s">
        <v>3</v>
      </c>
      <c r="H4" s="128" t="s">
        <v>98</v>
      </c>
      <c r="I4" s="128" t="s">
        <v>2</v>
      </c>
      <c r="J4" s="128" t="s">
        <v>3</v>
      </c>
      <c r="K4" s="128" t="s">
        <v>98</v>
      </c>
      <c r="L4" s="128" t="s">
        <v>2</v>
      </c>
      <c r="M4" s="128" t="s">
        <v>3</v>
      </c>
      <c r="N4" s="128" t="s">
        <v>98</v>
      </c>
      <c r="O4" s="128" t="s">
        <v>2</v>
      </c>
      <c r="P4" s="128" t="s">
        <v>3</v>
      </c>
      <c r="Q4" s="128" t="s">
        <v>98</v>
      </c>
      <c r="R4" s="159"/>
      <c r="S4" s="159"/>
      <c r="T4" s="159"/>
      <c r="U4" s="8">
        <f t="shared" ref="U4:Z4" si="0">SUM(U6:U27)</f>
        <v>3942</v>
      </c>
      <c r="V4" s="8">
        <f t="shared" si="0"/>
        <v>3464</v>
      </c>
      <c r="W4" s="8">
        <f t="shared" si="0"/>
        <v>638</v>
      </c>
      <c r="X4" s="8">
        <f t="shared" si="0"/>
        <v>517</v>
      </c>
      <c r="Y4" s="8">
        <f t="shared" si="0"/>
        <v>11730</v>
      </c>
      <c r="Z4" s="8">
        <f t="shared" si="0"/>
        <v>4446</v>
      </c>
    </row>
    <row r="5" spans="1:26" ht="25.5" x14ac:dyDescent="0.2">
      <c r="A5" s="99"/>
      <c r="B5" s="99" t="s">
        <v>208</v>
      </c>
      <c r="C5" s="71">
        <v>36722</v>
      </c>
      <c r="D5" s="71">
        <v>1253.7</v>
      </c>
      <c r="E5" s="71">
        <v>100</v>
      </c>
      <c r="F5" s="75">
        <v>40693</v>
      </c>
      <c r="G5" s="94">
        <v>1401.1</v>
      </c>
      <c r="H5" s="75">
        <v>100</v>
      </c>
      <c r="I5" s="75">
        <v>41816</v>
      </c>
      <c r="J5" s="94">
        <v>1453.7</v>
      </c>
      <c r="K5" s="75">
        <v>100</v>
      </c>
      <c r="L5" s="130">
        <v>2112</v>
      </c>
      <c r="M5" s="75">
        <v>74.3</v>
      </c>
      <c r="N5" s="94">
        <v>100</v>
      </c>
      <c r="O5" s="75">
        <f>U5+W5+Y5</f>
        <v>16544</v>
      </c>
      <c r="P5" s="75">
        <f>ROUND((O5/8571*1000),1)</f>
        <v>1930.2</v>
      </c>
      <c r="Q5" s="94">
        <v>100</v>
      </c>
      <c r="R5" s="124">
        <f>P5/M5</f>
        <v>25.978465679676987</v>
      </c>
      <c r="S5" s="124">
        <f>SUM(D5,G5,J5,M5,P5)/5</f>
        <v>1222.5999999999999</v>
      </c>
      <c r="T5" s="140">
        <f>P5/S5*100-100</f>
        <v>57.876656306232633</v>
      </c>
      <c r="U5" s="8">
        <v>3987</v>
      </c>
      <c r="V5" s="8">
        <v>3571</v>
      </c>
      <c r="W5" s="8">
        <v>651</v>
      </c>
      <c r="X5" s="8">
        <v>549</v>
      </c>
      <c r="Y5" s="8">
        <v>11906</v>
      </c>
      <c r="Z5" s="8">
        <v>4981</v>
      </c>
    </row>
    <row r="6" spans="1:26" ht="25.5" x14ac:dyDescent="0.2">
      <c r="A6" s="99">
        <v>1</v>
      </c>
      <c r="B6" s="99" t="s">
        <v>42</v>
      </c>
      <c r="C6" s="71">
        <v>9792</v>
      </c>
      <c r="D6" s="71">
        <v>334.3</v>
      </c>
      <c r="E6" s="71">
        <v>26.7</v>
      </c>
      <c r="F6" s="75">
        <v>11969</v>
      </c>
      <c r="G6" s="94">
        <v>412.1</v>
      </c>
      <c r="H6" s="78">
        <f>F6/40693*100</f>
        <v>29.412921141228221</v>
      </c>
      <c r="I6" s="75">
        <v>12310</v>
      </c>
      <c r="J6" s="94">
        <v>427.9</v>
      </c>
      <c r="K6" s="78">
        <f>I6/41816*100</f>
        <v>29.438492443083987</v>
      </c>
      <c r="L6" s="130">
        <v>863</v>
      </c>
      <c r="M6" s="75">
        <v>30.3</v>
      </c>
      <c r="N6" s="78">
        <f>L6/2112*100</f>
        <v>40.861742424242422</v>
      </c>
      <c r="O6" s="75">
        <f>U6+W6+Y6</f>
        <v>5129</v>
      </c>
      <c r="P6" s="75">
        <f t="shared" ref="P6:P17" si="1">ROUND((O6/8571*1000),1)</f>
        <v>598.4</v>
      </c>
      <c r="Q6" s="78">
        <f>O6/16544*100</f>
        <v>31.002176015473886</v>
      </c>
      <c r="R6" s="124">
        <f t="shared" ref="R6:R17" si="2">P6/M6</f>
        <v>19.749174917491747</v>
      </c>
      <c r="S6" s="124">
        <f t="shared" ref="S6:S17" si="3">SUM(D6,G6,J6,M6,P6)/5</f>
        <v>360.6</v>
      </c>
      <c r="T6" s="140">
        <f t="shared" ref="T6:T17" si="4">P6/S6*100-100</f>
        <v>65.945646145313361</v>
      </c>
      <c r="U6" s="95">
        <v>2820</v>
      </c>
      <c r="V6" s="95">
        <v>2802</v>
      </c>
      <c r="W6" s="8">
        <v>367</v>
      </c>
      <c r="X6" s="8">
        <v>354</v>
      </c>
      <c r="Y6" s="8">
        <v>1942</v>
      </c>
      <c r="Z6" s="8">
        <v>1578</v>
      </c>
    </row>
    <row r="7" spans="1:26" ht="37.5" customHeight="1" x14ac:dyDescent="0.2">
      <c r="A7" s="99">
        <v>2</v>
      </c>
      <c r="B7" s="99" t="s">
        <v>209</v>
      </c>
      <c r="C7" s="71">
        <v>2752</v>
      </c>
      <c r="D7" s="71">
        <v>94</v>
      </c>
      <c r="E7" s="71">
        <v>7.5</v>
      </c>
      <c r="F7" s="75">
        <v>2422</v>
      </c>
      <c r="G7" s="94">
        <v>83.4</v>
      </c>
      <c r="H7" s="78">
        <f t="shared" ref="H7:H17" si="5">F7/40693*100</f>
        <v>5.9518836163467919</v>
      </c>
      <c r="I7" s="75">
        <v>2167</v>
      </c>
      <c r="J7" s="94">
        <v>75.3</v>
      </c>
      <c r="K7" s="78">
        <f t="shared" ref="K7:K17" si="6">I7/41816*100</f>
        <v>5.1822268987947195</v>
      </c>
      <c r="L7" s="130">
        <v>50</v>
      </c>
      <c r="M7" s="75">
        <v>1.8</v>
      </c>
      <c r="N7" s="78">
        <f>L7/2112*100</f>
        <v>2.3674242424242422</v>
      </c>
      <c r="O7" s="75">
        <f t="shared" ref="O7:O11" si="7">U7+W7+Y7</f>
        <v>2182</v>
      </c>
      <c r="P7" s="75">
        <f t="shared" si="1"/>
        <v>254.6</v>
      </c>
      <c r="Q7" s="78">
        <f t="shared" ref="Q7:Q17" si="8">O7/16544*100</f>
        <v>13.189071566731142</v>
      </c>
      <c r="R7" s="124">
        <f t="shared" si="2"/>
        <v>141.44444444444443</v>
      </c>
      <c r="S7" s="124">
        <f t="shared" si="3"/>
        <v>101.82000000000001</v>
      </c>
      <c r="T7" s="121" t="s">
        <v>265</v>
      </c>
      <c r="U7" s="95">
        <v>89</v>
      </c>
      <c r="V7" s="95">
        <v>41</v>
      </c>
      <c r="W7" s="8">
        <v>22</v>
      </c>
      <c r="X7" s="8">
        <v>16</v>
      </c>
      <c r="Y7" s="8">
        <v>2071</v>
      </c>
      <c r="Z7" s="8">
        <v>505</v>
      </c>
    </row>
    <row r="8" spans="1:26" ht="25.5" x14ac:dyDescent="0.2">
      <c r="A8" s="99">
        <v>3</v>
      </c>
      <c r="B8" s="99" t="s">
        <v>210</v>
      </c>
      <c r="C8" s="71">
        <v>3940</v>
      </c>
      <c r="D8" s="71">
        <v>134.5</v>
      </c>
      <c r="E8" s="71">
        <v>10.7</v>
      </c>
      <c r="F8" s="75">
        <v>4626</v>
      </c>
      <c r="G8" s="94">
        <v>159.30000000000001</v>
      </c>
      <c r="H8" s="78">
        <f t="shared" si="5"/>
        <v>11.368048558720172</v>
      </c>
      <c r="I8" s="75">
        <v>5240</v>
      </c>
      <c r="J8" s="94">
        <v>182.2</v>
      </c>
      <c r="K8" s="78">
        <f t="shared" si="6"/>
        <v>12.531088578534533</v>
      </c>
      <c r="L8" s="130">
        <v>134</v>
      </c>
      <c r="M8" s="75">
        <v>4.7</v>
      </c>
      <c r="N8" s="78">
        <f t="shared" ref="N8:N17" si="9">L8/2112*100</f>
        <v>6.3446969696969697</v>
      </c>
      <c r="O8" s="75">
        <f t="shared" si="7"/>
        <v>2539</v>
      </c>
      <c r="P8" s="75">
        <f t="shared" si="1"/>
        <v>296.2</v>
      </c>
      <c r="Q8" s="78">
        <f t="shared" si="8"/>
        <v>15.346953578336556</v>
      </c>
      <c r="R8" s="124">
        <f t="shared" si="2"/>
        <v>63.021276595744673</v>
      </c>
      <c r="S8" s="124">
        <f t="shared" si="3"/>
        <v>155.38</v>
      </c>
      <c r="T8" s="140">
        <f t="shared" si="4"/>
        <v>90.629424636375347</v>
      </c>
      <c r="U8" s="95">
        <v>3</v>
      </c>
      <c r="V8" s="95">
        <v>3</v>
      </c>
      <c r="W8" s="8">
        <v>0</v>
      </c>
      <c r="X8" s="8">
        <v>0</v>
      </c>
      <c r="Y8" s="8">
        <v>2536</v>
      </c>
      <c r="Z8" s="8">
        <v>406</v>
      </c>
    </row>
    <row r="9" spans="1:26" ht="38.25" x14ac:dyDescent="0.2">
      <c r="A9" s="99">
        <v>4</v>
      </c>
      <c r="B9" s="99" t="s">
        <v>28</v>
      </c>
      <c r="C9" s="71">
        <v>2413</v>
      </c>
      <c r="D9" s="71">
        <v>82.3</v>
      </c>
      <c r="E9" s="71">
        <v>6.6</v>
      </c>
      <c r="F9" s="75">
        <v>2334</v>
      </c>
      <c r="G9" s="94">
        <v>80.400000000000006</v>
      </c>
      <c r="H9" s="78">
        <f t="shared" si="5"/>
        <v>5.7356302066694518</v>
      </c>
      <c r="I9" s="75">
        <v>2130</v>
      </c>
      <c r="J9" s="94">
        <v>74</v>
      </c>
      <c r="K9" s="78">
        <f t="shared" si="6"/>
        <v>5.0937440214272049</v>
      </c>
      <c r="L9" s="130">
        <v>135</v>
      </c>
      <c r="M9" s="75">
        <v>4.7</v>
      </c>
      <c r="N9" s="78">
        <f t="shared" si="9"/>
        <v>6.3920454545454541</v>
      </c>
      <c r="O9" s="75">
        <f t="shared" si="7"/>
        <v>1101</v>
      </c>
      <c r="P9" s="75">
        <f t="shared" si="1"/>
        <v>128.5</v>
      </c>
      <c r="Q9" s="78">
        <f t="shared" si="8"/>
        <v>6.6549806576402322</v>
      </c>
      <c r="R9" s="124">
        <f t="shared" si="2"/>
        <v>27.340425531914892</v>
      </c>
      <c r="S9" s="124">
        <f t="shared" si="3"/>
        <v>73.97999999999999</v>
      </c>
      <c r="T9" s="140">
        <f t="shared" si="4"/>
        <v>73.69559340362261</v>
      </c>
      <c r="U9" s="95">
        <v>46</v>
      </c>
      <c r="V9" s="95">
        <v>17</v>
      </c>
      <c r="W9" s="8">
        <v>16</v>
      </c>
      <c r="X9" s="8">
        <v>16</v>
      </c>
      <c r="Y9" s="8">
        <v>1039</v>
      </c>
      <c r="Z9" s="8">
        <v>266</v>
      </c>
    </row>
    <row r="10" spans="1:26" ht="49.5" customHeight="1" x14ac:dyDescent="0.2">
      <c r="A10" s="99">
        <v>5</v>
      </c>
      <c r="B10" s="99" t="s">
        <v>211</v>
      </c>
      <c r="C10" s="71">
        <v>2825</v>
      </c>
      <c r="D10" s="71">
        <v>96.4</v>
      </c>
      <c r="E10" s="71">
        <v>7.7</v>
      </c>
      <c r="F10" s="75">
        <v>2872</v>
      </c>
      <c r="G10" s="94">
        <v>98.9</v>
      </c>
      <c r="H10" s="78">
        <f t="shared" si="5"/>
        <v>7.0577249158331901</v>
      </c>
      <c r="I10" s="75">
        <v>2877</v>
      </c>
      <c r="J10" s="94">
        <v>100</v>
      </c>
      <c r="K10" s="78">
        <f t="shared" si="6"/>
        <v>6.8801415726037876</v>
      </c>
      <c r="L10" s="130">
        <v>139</v>
      </c>
      <c r="M10" s="75">
        <v>4.9000000000000004</v>
      </c>
      <c r="N10" s="78">
        <f t="shared" si="9"/>
        <v>6.5814393939393936</v>
      </c>
      <c r="O10" s="75">
        <f t="shared" si="7"/>
        <v>528</v>
      </c>
      <c r="P10" s="75">
        <f t="shared" si="1"/>
        <v>61.6</v>
      </c>
      <c r="Q10" s="78">
        <f t="shared" si="8"/>
        <v>3.1914893617021276</v>
      </c>
      <c r="R10" s="124">
        <f t="shared" si="2"/>
        <v>12.571428571428571</v>
      </c>
      <c r="S10" s="124">
        <f t="shared" si="3"/>
        <v>72.36</v>
      </c>
      <c r="T10" s="140">
        <f t="shared" si="4"/>
        <v>-14.870093974571589</v>
      </c>
      <c r="U10" s="95">
        <v>111</v>
      </c>
      <c r="V10" s="95">
        <v>111</v>
      </c>
      <c r="W10" s="8">
        <v>40</v>
      </c>
      <c r="X10" s="8">
        <v>40</v>
      </c>
      <c r="Y10" s="8">
        <v>377</v>
      </c>
      <c r="Z10" s="8">
        <v>377</v>
      </c>
    </row>
    <row r="11" spans="1:26" x14ac:dyDescent="0.2">
      <c r="A11" s="99">
        <v>6</v>
      </c>
      <c r="B11" s="99" t="s">
        <v>212</v>
      </c>
      <c r="C11" s="71">
        <v>3266</v>
      </c>
      <c r="D11" s="71">
        <v>111.5</v>
      </c>
      <c r="E11" s="71">
        <v>8.9</v>
      </c>
      <c r="F11" s="75">
        <v>1064</v>
      </c>
      <c r="G11" s="94">
        <v>36.6</v>
      </c>
      <c r="H11" s="78">
        <f t="shared" si="5"/>
        <v>2.6147003170078391</v>
      </c>
      <c r="I11" s="75">
        <v>3045</v>
      </c>
      <c r="J11" s="94">
        <v>105.9</v>
      </c>
      <c r="K11" s="78">
        <f t="shared" si="6"/>
        <v>7.2819016644346659</v>
      </c>
      <c r="L11" s="130">
        <v>100</v>
      </c>
      <c r="M11" s="75">
        <v>3.5</v>
      </c>
      <c r="N11" s="78">
        <f t="shared" si="9"/>
        <v>4.7348484848484844</v>
      </c>
      <c r="O11" s="75">
        <f t="shared" si="7"/>
        <v>570</v>
      </c>
      <c r="P11" s="75">
        <f t="shared" si="1"/>
        <v>66.5</v>
      </c>
      <c r="Q11" s="78">
        <f t="shared" si="8"/>
        <v>3.4453578336557058</v>
      </c>
      <c r="R11" s="124">
        <f t="shared" si="2"/>
        <v>19</v>
      </c>
      <c r="S11" s="124">
        <f t="shared" si="3"/>
        <v>64.8</v>
      </c>
      <c r="T11" s="140">
        <f t="shared" si="4"/>
        <v>2.6234567901234556</v>
      </c>
      <c r="U11" s="95">
        <v>79</v>
      </c>
      <c r="V11" s="95">
        <v>64</v>
      </c>
      <c r="W11" s="8">
        <v>26</v>
      </c>
      <c r="X11" s="8">
        <v>14</v>
      </c>
      <c r="Y11" s="8">
        <v>465</v>
      </c>
      <c r="Z11" s="8">
        <v>149</v>
      </c>
    </row>
    <row r="12" spans="1:26" ht="29.25" customHeight="1" x14ac:dyDescent="0.2">
      <c r="A12" s="99">
        <v>7</v>
      </c>
      <c r="B12" s="99" t="s">
        <v>23</v>
      </c>
      <c r="C12" s="71">
        <v>1466</v>
      </c>
      <c r="D12" s="71">
        <v>50</v>
      </c>
      <c r="E12" s="71">
        <v>4</v>
      </c>
      <c r="F12" s="75">
        <v>1810</v>
      </c>
      <c r="G12" s="94">
        <v>62.3</v>
      </c>
      <c r="H12" s="78">
        <f t="shared" si="5"/>
        <v>4.4479394490452906</v>
      </c>
      <c r="I12" s="75">
        <v>1693</v>
      </c>
      <c r="J12" s="94">
        <v>58.9</v>
      </c>
      <c r="K12" s="78">
        <f t="shared" si="6"/>
        <v>4.0486894968433136</v>
      </c>
      <c r="L12" s="130">
        <v>86</v>
      </c>
      <c r="M12" s="75">
        <v>3</v>
      </c>
      <c r="N12" s="78">
        <f t="shared" si="9"/>
        <v>4.0719696969696972</v>
      </c>
      <c r="O12" s="75">
        <f t="shared" ref="O12:O17" si="10">U12+W12+Y12</f>
        <v>781</v>
      </c>
      <c r="P12" s="75">
        <f t="shared" si="1"/>
        <v>91.1</v>
      </c>
      <c r="Q12" s="78">
        <f t="shared" si="8"/>
        <v>4.7207446808510642</v>
      </c>
      <c r="R12" s="124">
        <f t="shared" si="2"/>
        <v>30.366666666666664</v>
      </c>
      <c r="S12" s="124">
        <f t="shared" si="3"/>
        <v>53.059999999999988</v>
      </c>
      <c r="T12" s="140">
        <f t="shared" si="4"/>
        <v>71.69242367131551</v>
      </c>
      <c r="U12" s="95">
        <v>195</v>
      </c>
      <c r="V12" s="95">
        <v>170</v>
      </c>
      <c r="W12" s="8">
        <v>39</v>
      </c>
      <c r="X12" s="8">
        <v>27</v>
      </c>
      <c r="Y12" s="8">
        <v>547</v>
      </c>
      <c r="Z12" s="8">
        <v>139</v>
      </c>
    </row>
    <row r="13" spans="1:26" ht="25.5" x14ac:dyDescent="0.2">
      <c r="A13" s="99">
        <v>8</v>
      </c>
      <c r="B13" s="99" t="s">
        <v>95</v>
      </c>
      <c r="C13" s="71">
        <v>1091</v>
      </c>
      <c r="D13" s="71">
        <v>37.200000000000003</v>
      </c>
      <c r="E13" s="71">
        <v>3</v>
      </c>
      <c r="F13" s="75">
        <v>1233</v>
      </c>
      <c r="G13" s="94">
        <v>42.5</v>
      </c>
      <c r="H13" s="78">
        <f t="shared" si="5"/>
        <v>3.0300051605927312</v>
      </c>
      <c r="I13" s="75">
        <v>1319</v>
      </c>
      <c r="J13" s="94">
        <v>45.9</v>
      </c>
      <c r="K13" s="78">
        <f t="shared" si="6"/>
        <v>3.1542950066960014</v>
      </c>
      <c r="L13" s="130">
        <v>52</v>
      </c>
      <c r="M13" s="75">
        <v>1.8</v>
      </c>
      <c r="N13" s="78">
        <f t="shared" si="9"/>
        <v>2.4621212121212119</v>
      </c>
      <c r="O13" s="75">
        <f t="shared" si="10"/>
        <v>601</v>
      </c>
      <c r="P13" s="75">
        <f t="shared" si="1"/>
        <v>70.099999999999994</v>
      </c>
      <c r="Q13" s="78">
        <f t="shared" si="8"/>
        <v>3.6327369439071568</v>
      </c>
      <c r="R13" s="124">
        <f t="shared" si="2"/>
        <v>38.944444444444443</v>
      </c>
      <c r="S13" s="124">
        <f t="shared" si="3"/>
        <v>39.5</v>
      </c>
      <c r="T13" s="140">
        <f t="shared" si="4"/>
        <v>77.468354430379748</v>
      </c>
      <c r="U13" s="95">
        <v>243</v>
      </c>
      <c r="V13" s="95">
        <v>84</v>
      </c>
      <c r="W13" s="8">
        <v>54</v>
      </c>
      <c r="X13" s="8">
        <v>29</v>
      </c>
      <c r="Y13" s="8">
        <v>304</v>
      </c>
      <c r="Z13" s="8">
        <v>84</v>
      </c>
    </row>
    <row r="14" spans="1:26" ht="38.25" x14ac:dyDescent="0.2">
      <c r="A14" s="99">
        <v>9</v>
      </c>
      <c r="B14" s="99" t="s">
        <v>51</v>
      </c>
      <c r="C14" s="71">
        <v>2118</v>
      </c>
      <c r="D14" s="71">
        <v>72.3</v>
      </c>
      <c r="E14" s="71">
        <v>5.8</v>
      </c>
      <c r="F14" s="75">
        <v>2548</v>
      </c>
      <c r="G14" s="94">
        <v>87.7</v>
      </c>
      <c r="H14" s="78">
        <f t="shared" si="5"/>
        <v>6.261519180202983</v>
      </c>
      <c r="I14" s="75">
        <v>2542</v>
      </c>
      <c r="J14" s="94">
        <v>88.4</v>
      </c>
      <c r="K14" s="78">
        <f t="shared" si="6"/>
        <v>6.0790128180600727</v>
      </c>
      <c r="L14" s="130">
        <v>69</v>
      </c>
      <c r="M14" s="75">
        <v>2.4</v>
      </c>
      <c r="N14" s="78">
        <f t="shared" si="9"/>
        <v>3.2670454545454546</v>
      </c>
      <c r="O14" s="75">
        <f t="shared" si="10"/>
        <v>548</v>
      </c>
      <c r="P14" s="75">
        <f t="shared" si="1"/>
        <v>63.9</v>
      </c>
      <c r="Q14" s="78">
        <f t="shared" si="8"/>
        <v>3.3123791102514502</v>
      </c>
      <c r="R14" s="124">
        <f t="shared" si="2"/>
        <v>26.625</v>
      </c>
      <c r="S14" s="124">
        <f t="shared" si="3"/>
        <v>62.94</v>
      </c>
      <c r="T14" s="140">
        <f t="shared" si="4"/>
        <v>1.5252621544328093</v>
      </c>
      <c r="U14" s="95">
        <v>59</v>
      </c>
      <c r="V14" s="95">
        <v>23</v>
      </c>
      <c r="W14" s="8">
        <v>15</v>
      </c>
      <c r="X14" s="8">
        <v>6</v>
      </c>
      <c r="Y14" s="8">
        <v>474</v>
      </c>
      <c r="Z14" s="8">
        <v>68</v>
      </c>
    </row>
    <row r="15" spans="1:26" ht="38.25" x14ac:dyDescent="0.2">
      <c r="A15" s="99">
        <v>10</v>
      </c>
      <c r="B15" s="99" t="s">
        <v>213</v>
      </c>
      <c r="C15" s="71">
        <v>908</v>
      </c>
      <c r="D15" s="71">
        <v>31</v>
      </c>
      <c r="E15" s="71">
        <v>2.5</v>
      </c>
      <c r="F15" s="75">
        <v>1064</v>
      </c>
      <c r="G15" s="94">
        <v>36.6</v>
      </c>
      <c r="H15" s="78">
        <f t="shared" si="5"/>
        <v>2.6147003170078391</v>
      </c>
      <c r="I15" s="75">
        <v>1070</v>
      </c>
      <c r="J15" s="94">
        <v>37.200000000000003</v>
      </c>
      <c r="K15" s="78">
        <f t="shared" si="6"/>
        <v>2.558829156303807</v>
      </c>
      <c r="L15" s="130">
        <v>60</v>
      </c>
      <c r="M15" s="75">
        <v>2.1</v>
      </c>
      <c r="N15" s="78">
        <f t="shared" si="9"/>
        <v>2.8409090909090908</v>
      </c>
      <c r="O15" s="75">
        <f t="shared" si="10"/>
        <v>91</v>
      </c>
      <c r="P15" s="75">
        <f t="shared" si="1"/>
        <v>10.6</v>
      </c>
      <c r="Q15" s="78">
        <f t="shared" si="8"/>
        <v>0.55004835589941969</v>
      </c>
      <c r="R15" s="124">
        <f t="shared" si="2"/>
        <v>5.0476190476190474</v>
      </c>
      <c r="S15" s="124">
        <f t="shared" si="3"/>
        <v>23.499999999999996</v>
      </c>
      <c r="T15" s="140">
        <f t="shared" si="4"/>
        <v>-54.89361702127659</v>
      </c>
      <c r="U15" s="95">
        <v>27</v>
      </c>
      <c r="V15" s="95">
        <v>19</v>
      </c>
      <c r="W15" s="8">
        <v>3</v>
      </c>
      <c r="X15" s="8">
        <v>2</v>
      </c>
      <c r="Y15" s="8">
        <v>61</v>
      </c>
      <c r="Z15" s="8">
        <v>55</v>
      </c>
    </row>
    <row r="16" spans="1:26" ht="25.5" x14ac:dyDescent="0.2">
      <c r="A16" s="99">
        <v>11</v>
      </c>
      <c r="B16" s="99" t="s">
        <v>214</v>
      </c>
      <c r="C16" s="71">
        <v>1538</v>
      </c>
      <c r="D16" s="71">
        <v>52.5</v>
      </c>
      <c r="E16" s="71">
        <v>4.2</v>
      </c>
      <c r="F16" s="75">
        <v>1438</v>
      </c>
      <c r="G16" s="94">
        <v>49.5</v>
      </c>
      <c r="H16" s="78">
        <f t="shared" si="5"/>
        <v>3.5337773081365347</v>
      </c>
      <c r="I16" s="75">
        <v>1274</v>
      </c>
      <c r="J16" s="94">
        <v>44.3</v>
      </c>
      <c r="K16" s="78">
        <f t="shared" si="6"/>
        <v>3.0466806963841591</v>
      </c>
      <c r="L16" s="130">
        <v>41</v>
      </c>
      <c r="M16" s="75">
        <v>1.4</v>
      </c>
      <c r="N16" s="78">
        <f t="shared" si="9"/>
        <v>1.9412878787878789</v>
      </c>
      <c r="O16" s="75">
        <f t="shared" si="10"/>
        <v>448</v>
      </c>
      <c r="P16" s="75">
        <f t="shared" si="1"/>
        <v>52.3</v>
      </c>
      <c r="Q16" s="78">
        <f t="shared" si="8"/>
        <v>2.7079303675048356</v>
      </c>
      <c r="R16" s="124">
        <f t="shared" si="2"/>
        <v>37.357142857142854</v>
      </c>
      <c r="S16" s="124">
        <f t="shared" si="3"/>
        <v>40</v>
      </c>
      <c r="T16" s="140">
        <f t="shared" si="4"/>
        <v>30.75</v>
      </c>
      <c r="U16" s="95">
        <v>46</v>
      </c>
      <c r="V16" s="95">
        <v>35</v>
      </c>
      <c r="W16" s="8">
        <v>15</v>
      </c>
      <c r="X16" s="8">
        <v>10</v>
      </c>
      <c r="Y16" s="8">
        <v>387</v>
      </c>
      <c r="Z16" s="8">
        <v>356</v>
      </c>
    </row>
    <row r="17" spans="1:26" ht="38.25" x14ac:dyDescent="0.2">
      <c r="A17" s="99">
        <v>12</v>
      </c>
      <c r="B17" s="99" t="s">
        <v>215</v>
      </c>
      <c r="C17" s="71">
        <v>715</v>
      </c>
      <c r="D17" s="71">
        <v>24.4</v>
      </c>
      <c r="E17" s="71">
        <v>1.9</v>
      </c>
      <c r="F17" s="75">
        <v>974</v>
      </c>
      <c r="G17" s="94">
        <v>33.5</v>
      </c>
      <c r="H17" s="78">
        <f t="shared" si="5"/>
        <v>2.3935320571105598</v>
      </c>
      <c r="I17" s="75">
        <v>1033</v>
      </c>
      <c r="J17" s="94">
        <v>35.9</v>
      </c>
      <c r="K17" s="78">
        <f t="shared" si="6"/>
        <v>2.4703462789362924</v>
      </c>
      <c r="L17" s="130">
        <v>26</v>
      </c>
      <c r="M17" s="75">
        <v>0.9</v>
      </c>
      <c r="N17" s="78">
        <f t="shared" si="9"/>
        <v>1.231060606060606</v>
      </c>
      <c r="O17" s="75">
        <f t="shared" si="10"/>
        <v>444</v>
      </c>
      <c r="P17" s="75">
        <f t="shared" si="1"/>
        <v>51.8</v>
      </c>
      <c r="Q17" s="78">
        <f t="shared" si="8"/>
        <v>2.6837524177949708</v>
      </c>
      <c r="R17" s="124">
        <f t="shared" si="2"/>
        <v>57.55555555555555</v>
      </c>
      <c r="S17" s="124">
        <f t="shared" si="3"/>
        <v>29.3</v>
      </c>
      <c r="T17" s="140">
        <f t="shared" si="4"/>
        <v>76.791808873720129</v>
      </c>
      <c r="U17" s="95">
        <v>46</v>
      </c>
      <c r="V17" s="95">
        <v>39</v>
      </c>
      <c r="W17" s="8">
        <v>1</v>
      </c>
      <c r="X17" s="8">
        <v>1</v>
      </c>
      <c r="Y17" s="8">
        <v>397</v>
      </c>
      <c r="Z17" s="8">
        <v>49</v>
      </c>
    </row>
    <row r="18" spans="1:26" x14ac:dyDescent="0.2">
      <c r="A18" s="104"/>
      <c r="B18" s="104"/>
      <c r="C18" s="105"/>
      <c r="D18" s="105"/>
      <c r="E18" s="105"/>
      <c r="F18" s="105"/>
      <c r="G18" s="105"/>
      <c r="H18" s="105"/>
      <c r="I18" s="106"/>
      <c r="J18" s="107"/>
      <c r="K18" s="108"/>
      <c r="L18" s="106"/>
      <c r="M18" s="169" t="s">
        <v>254</v>
      </c>
      <c r="N18" s="169"/>
      <c r="O18" s="169"/>
      <c r="P18" s="169"/>
      <c r="Q18" s="169"/>
      <c r="R18" s="169"/>
      <c r="S18" s="169"/>
      <c r="T18" s="62"/>
      <c r="U18" s="95"/>
      <c r="V18" s="95"/>
    </row>
    <row r="19" spans="1:26" ht="48" customHeight="1" x14ac:dyDescent="0.2">
      <c r="A19" s="166" t="s">
        <v>0</v>
      </c>
      <c r="B19" s="166" t="s">
        <v>1</v>
      </c>
      <c r="C19" s="166" t="s">
        <v>183</v>
      </c>
      <c r="D19" s="159"/>
      <c r="E19" s="159"/>
      <c r="F19" s="168" t="s">
        <v>184</v>
      </c>
      <c r="G19" s="170"/>
      <c r="H19" s="170"/>
      <c r="I19" s="168" t="s">
        <v>245</v>
      </c>
      <c r="J19" s="168"/>
      <c r="K19" s="168"/>
      <c r="L19" s="168" t="s">
        <v>247</v>
      </c>
      <c r="M19" s="168" t="s">
        <v>247</v>
      </c>
      <c r="N19" s="168"/>
      <c r="O19" s="168" t="s">
        <v>258</v>
      </c>
      <c r="P19" s="168" t="s">
        <v>247</v>
      </c>
      <c r="Q19" s="168"/>
      <c r="R19" s="159" t="s">
        <v>264</v>
      </c>
      <c r="S19" s="159" t="s">
        <v>109</v>
      </c>
      <c r="T19" s="159" t="s">
        <v>144</v>
      </c>
      <c r="U19" s="8" t="s">
        <v>248</v>
      </c>
      <c r="W19" s="8" t="s">
        <v>249</v>
      </c>
      <c r="Y19" s="8" t="s">
        <v>250</v>
      </c>
    </row>
    <row r="20" spans="1:26" ht="12.75" customHeight="1" x14ac:dyDescent="0.2">
      <c r="A20" s="166"/>
      <c r="B20" s="166"/>
      <c r="C20" s="128" t="s">
        <v>2</v>
      </c>
      <c r="D20" s="128" t="s">
        <v>3</v>
      </c>
      <c r="E20" s="128" t="s">
        <v>98</v>
      </c>
      <c r="F20" s="128" t="s">
        <v>2</v>
      </c>
      <c r="G20" s="128" t="s">
        <v>3</v>
      </c>
      <c r="H20" s="128" t="s">
        <v>98</v>
      </c>
      <c r="I20" s="128" t="s">
        <v>2</v>
      </c>
      <c r="J20" s="128" t="s">
        <v>3</v>
      </c>
      <c r="K20" s="128" t="s">
        <v>98</v>
      </c>
      <c r="L20" s="128" t="s">
        <v>2</v>
      </c>
      <c r="M20" s="128" t="s">
        <v>3</v>
      </c>
      <c r="N20" s="128" t="s">
        <v>98</v>
      </c>
      <c r="O20" s="128" t="s">
        <v>2</v>
      </c>
      <c r="P20" s="128" t="s">
        <v>3</v>
      </c>
      <c r="Q20" s="128" t="s">
        <v>98</v>
      </c>
      <c r="R20" s="159"/>
      <c r="S20" s="159"/>
      <c r="T20" s="159"/>
      <c r="U20" s="8">
        <f>SUM(U21:U42)</f>
        <v>89</v>
      </c>
      <c r="V20" s="8">
        <f t="shared" ref="V20:Z20" si="11">SUM(V21:V42)</f>
        <v>28</v>
      </c>
      <c r="W20" s="8">
        <f t="shared" si="11"/>
        <v>20</v>
      </c>
      <c r="X20" s="8">
        <f t="shared" si="11"/>
        <v>1</v>
      </c>
      <c r="Y20" s="8">
        <f t="shared" si="11"/>
        <v>565</v>
      </c>
      <c r="Z20" s="8">
        <f t="shared" si="11"/>
        <v>207</v>
      </c>
    </row>
    <row r="21" spans="1:26" ht="51" x14ac:dyDescent="0.2">
      <c r="A21" s="99">
        <v>13</v>
      </c>
      <c r="B21" s="99" t="s">
        <v>216</v>
      </c>
      <c r="C21" s="71">
        <v>1689</v>
      </c>
      <c r="D21" s="71">
        <v>57.7</v>
      </c>
      <c r="E21" s="71">
        <v>4.5999999999999996</v>
      </c>
      <c r="F21" s="71">
        <v>1509</v>
      </c>
      <c r="G21" s="71">
        <v>52</v>
      </c>
      <c r="H21" s="124">
        <v>3.6086665391237802</v>
      </c>
      <c r="I21" s="75">
        <v>1404</v>
      </c>
      <c r="J21" s="76">
        <v>48.8</v>
      </c>
      <c r="K21" s="78">
        <v>66.477272727272734</v>
      </c>
      <c r="L21" s="75">
        <v>34</v>
      </c>
      <c r="M21" s="94">
        <v>1.2</v>
      </c>
      <c r="N21" s="78">
        <v>1.6098484848484849</v>
      </c>
      <c r="O21" s="75">
        <f t="shared" ref="O21:O27" si="12">U21+W21+Y21</f>
        <v>0</v>
      </c>
      <c r="P21" s="75">
        <f t="shared" ref="P21:P27" si="13">ROUND((O21/8571*1000),1)</f>
        <v>0</v>
      </c>
      <c r="Q21" s="78">
        <f t="shared" ref="Q21:Q27" si="14">O21/16544*100</f>
        <v>0</v>
      </c>
      <c r="R21" s="124">
        <f t="shared" ref="R21:R27" si="15">P21/M21</f>
        <v>0</v>
      </c>
      <c r="S21" s="124">
        <f>SUM(D21,G21,J21,M21,P21)/5</f>
        <v>31.939999999999998</v>
      </c>
      <c r="T21" s="140">
        <f t="shared" ref="T21:T27" si="16">P21/S21*100-100</f>
        <v>-100</v>
      </c>
      <c r="U21" s="95">
        <v>0</v>
      </c>
      <c r="V21" s="95">
        <v>0</v>
      </c>
      <c r="W21" s="8">
        <v>0</v>
      </c>
      <c r="X21" s="8">
        <v>0</v>
      </c>
      <c r="Y21" s="8">
        <v>0</v>
      </c>
      <c r="Z21" s="8">
        <v>0</v>
      </c>
    </row>
    <row r="22" spans="1:26" ht="25.5" x14ac:dyDescent="0.2">
      <c r="A22" s="57">
        <v>14</v>
      </c>
      <c r="B22" s="99" t="s">
        <v>52</v>
      </c>
      <c r="C22" s="71">
        <v>1288</v>
      </c>
      <c r="D22" s="71">
        <v>44</v>
      </c>
      <c r="E22" s="71">
        <v>3.5</v>
      </c>
      <c r="F22" s="71">
        <v>1151</v>
      </c>
      <c r="G22" s="71">
        <v>40</v>
      </c>
      <c r="H22" s="124">
        <v>2.7525349148651235</v>
      </c>
      <c r="I22" s="125">
        <v>1051</v>
      </c>
      <c r="J22" s="76">
        <v>36.5</v>
      </c>
      <c r="K22" s="78">
        <v>49.763257575757578</v>
      </c>
      <c r="L22" s="125">
        <v>64</v>
      </c>
      <c r="M22" s="94">
        <v>2.2999999999999998</v>
      </c>
      <c r="N22" s="78">
        <v>3.0303030303030303</v>
      </c>
      <c r="O22" s="75">
        <f t="shared" si="12"/>
        <v>429</v>
      </c>
      <c r="P22" s="75">
        <f t="shared" si="13"/>
        <v>50.1</v>
      </c>
      <c r="Q22" s="78">
        <f t="shared" si="14"/>
        <v>2.5930851063829787</v>
      </c>
      <c r="R22" s="124">
        <f t="shared" si="15"/>
        <v>21.782608695652176</v>
      </c>
      <c r="S22" s="124">
        <f t="shared" ref="S22:S26" si="17">SUM(D22,G22,J22,M22,P22)/5</f>
        <v>34.58</v>
      </c>
      <c r="T22" s="140">
        <f t="shared" si="16"/>
        <v>44.881434355118586</v>
      </c>
      <c r="U22" s="95">
        <v>16</v>
      </c>
      <c r="V22" s="95">
        <v>13</v>
      </c>
      <c r="W22" s="8">
        <v>1</v>
      </c>
      <c r="X22" s="8">
        <v>1</v>
      </c>
      <c r="Y22" s="8">
        <v>412</v>
      </c>
      <c r="Z22" s="8">
        <v>105</v>
      </c>
    </row>
    <row r="23" spans="1:26" ht="51" x14ac:dyDescent="0.2">
      <c r="A23" s="57">
        <v>15</v>
      </c>
      <c r="B23" s="99" t="s">
        <v>217</v>
      </c>
      <c r="C23" s="71">
        <v>526</v>
      </c>
      <c r="D23" s="71">
        <v>18</v>
      </c>
      <c r="E23" s="71">
        <v>1.4</v>
      </c>
      <c r="F23" s="71">
        <v>563</v>
      </c>
      <c r="G23" s="71">
        <v>19.399999999999999</v>
      </c>
      <c r="H23" s="124">
        <v>1.3463745934570499</v>
      </c>
      <c r="I23" s="125">
        <v>593</v>
      </c>
      <c r="J23" s="76">
        <v>20.6</v>
      </c>
      <c r="K23" s="78">
        <v>28.077651515151516</v>
      </c>
      <c r="L23" s="125">
        <v>12</v>
      </c>
      <c r="M23" s="94">
        <v>0.4</v>
      </c>
      <c r="N23" s="78">
        <v>0.56818181818181823</v>
      </c>
      <c r="O23" s="75">
        <f t="shared" si="12"/>
        <v>79</v>
      </c>
      <c r="P23" s="75">
        <f t="shared" si="13"/>
        <v>9.1999999999999993</v>
      </c>
      <c r="Q23" s="78">
        <f t="shared" si="14"/>
        <v>0.47751450676982593</v>
      </c>
      <c r="R23" s="124">
        <f t="shared" si="15"/>
        <v>22.999999999999996</v>
      </c>
      <c r="S23" s="124">
        <f t="shared" si="17"/>
        <v>13.52</v>
      </c>
      <c r="T23" s="140">
        <f t="shared" si="16"/>
        <v>-31.952662721893503</v>
      </c>
      <c r="U23" s="95">
        <v>0</v>
      </c>
      <c r="V23" s="95">
        <v>0</v>
      </c>
      <c r="W23" s="8">
        <v>0</v>
      </c>
      <c r="X23" s="8">
        <v>0</v>
      </c>
      <c r="Y23" s="8">
        <v>79</v>
      </c>
      <c r="Z23" s="8">
        <v>79</v>
      </c>
    </row>
    <row r="24" spans="1:26" ht="38.25" x14ac:dyDescent="0.2">
      <c r="A24" s="57">
        <v>16</v>
      </c>
      <c r="B24" s="99" t="s">
        <v>218</v>
      </c>
      <c r="C24" s="71">
        <v>132</v>
      </c>
      <c r="D24" s="71">
        <v>4.5</v>
      </c>
      <c r="E24" s="71">
        <v>0.4</v>
      </c>
      <c r="F24" s="71">
        <v>164</v>
      </c>
      <c r="G24" s="71">
        <v>5.6</v>
      </c>
      <c r="H24" s="124">
        <v>0.39219437535871438</v>
      </c>
      <c r="I24" s="125">
        <v>173</v>
      </c>
      <c r="J24" s="76">
        <v>6</v>
      </c>
      <c r="K24" s="78">
        <v>8.1912878787878789</v>
      </c>
      <c r="L24" s="125">
        <v>24</v>
      </c>
      <c r="M24" s="94">
        <v>0.8</v>
      </c>
      <c r="N24" s="78">
        <v>1.1363636363636365</v>
      </c>
      <c r="O24" s="75">
        <f t="shared" si="12"/>
        <v>97</v>
      </c>
      <c r="P24" s="75">
        <f t="shared" si="13"/>
        <v>11.3</v>
      </c>
      <c r="Q24" s="78">
        <f t="shared" si="14"/>
        <v>0.58631528046421666</v>
      </c>
      <c r="R24" s="124">
        <f t="shared" si="15"/>
        <v>14.125</v>
      </c>
      <c r="S24" s="124">
        <f t="shared" si="17"/>
        <v>5.6400000000000006</v>
      </c>
      <c r="T24" s="121" t="s">
        <v>266</v>
      </c>
      <c r="U24" s="95">
        <v>29</v>
      </c>
      <c r="V24" s="95">
        <v>12</v>
      </c>
      <c r="W24" s="8">
        <v>6</v>
      </c>
      <c r="X24" s="8">
        <v>0</v>
      </c>
      <c r="Y24" s="8">
        <v>62</v>
      </c>
      <c r="Z24" s="8">
        <v>23</v>
      </c>
    </row>
    <row r="25" spans="1:26" ht="102" x14ac:dyDescent="0.2">
      <c r="A25" s="57">
        <v>17</v>
      </c>
      <c r="B25" s="99" t="s">
        <v>219</v>
      </c>
      <c r="C25" s="71">
        <v>21</v>
      </c>
      <c r="D25" s="71">
        <v>0.7</v>
      </c>
      <c r="E25" s="71">
        <v>0.06</v>
      </c>
      <c r="F25" s="71">
        <v>550</v>
      </c>
      <c r="G25" s="71">
        <v>19</v>
      </c>
      <c r="H25" s="124">
        <v>1.3152860149225176</v>
      </c>
      <c r="I25" s="125">
        <v>451</v>
      </c>
      <c r="J25" s="76">
        <v>15.7</v>
      </c>
      <c r="K25" s="78">
        <v>21.354166666666664</v>
      </c>
      <c r="L25" s="82">
        <v>20</v>
      </c>
      <c r="M25" s="94">
        <v>0.7</v>
      </c>
      <c r="N25" s="78">
        <v>0.94696969696969702</v>
      </c>
      <c r="O25" s="75">
        <f t="shared" si="12"/>
        <v>0</v>
      </c>
      <c r="P25" s="75">
        <f t="shared" si="13"/>
        <v>0</v>
      </c>
      <c r="Q25" s="78">
        <f t="shared" si="14"/>
        <v>0</v>
      </c>
      <c r="R25" s="124">
        <f t="shared" si="15"/>
        <v>0</v>
      </c>
      <c r="S25" s="124">
        <f t="shared" si="17"/>
        <v>7.2200000000000006</v>
      </c>
      <c r="T25" s="140">
        <f t="shared" si="16"/>
        <v>-100</v>
      </c>
      <c r="U25" s="95">
        <v>0</v>
      </c>
      <c r="V25" s="95">
        <v>0</v>
      </c>
      <c r="W25" s="8">
        <v>0</v>
      </c>
      <c r="X25" s="8">
        <v>0</v>
      </c>
      <c r="Y25" s="8">
        <v>0</v>
      </c>
      <c r="Z25" s="8">
        <v>0</v>
      </c>
    </row>
    <row r="26" spans="1:26" ht="63.75" x14ac:dyDescent="0.2">
      <c r="A26" s="57">
        <v>18</v>
      </c>
      <c r="B26" s="99" t="s">
        <v>220</v>
      </c>
      <c r="C26" s="71">
        <v>117</v>
      </c>
      <c r="D26" s="71">
        <v>4</v>
      </c>
      <c r="E26" s="71">
        <v>0.3</v>
      </c>
      <c r="F26" s="71">
        <v>115</v>
      </c>
      <c r="G26" s="71">
        <v>4</v>
      </c>
      <c r="H26" s="124">
        <v>0.27501434857470825</v>
      </c>
      <c r="I26" s="125">
        <v>129</v>
      </c>
      <c r="J26" s="76">
        <v>4.5</v>
      </c>
      <c r="K26" s="78">
        <v>6.1079545454545459</v>
      </c>
      <c r="L26" s="82">
        <v>4</v>
      </c>
      <c r="M26" s="94">
        <v>0.1</v>
      </c>
      <c r="N26" s="78">
        <v>0.18939393939393939</v>
      </c>
      <c r="O26" s="75">
        <f t="shared" si="12"/>
        <v>0</v>
      </c>
      <c r="P26" s="75">
        <f t="shared" si="13"/>
        <v>0</v>
      </c>
      <c r="Q26" s="78">
        <f t="shared" si="14"/>
        <v>0</v>
      </c>
      <c r="R26" s="124">
        <f t="shared" si="15"/>
        <v>0</v>
      </c>
      <c r="S26" s="124">
        <f t="shared" si="17"/>
        <v>2.52</v>
      </c>
      <c r="T26" s="140">
        <f t="shared" si="16"/>
        <v>-100</v>
      </c>
      <c r="U26" s="95">
        <v>0</v>
      </c>
      <c r="V26" s="95">
        <v>0</v>
      </c>
      <c r="W26" s="8">
        <v>0</v>
      </c>
      <c r="X26" s="8">
        <v>0</v>
      </c>
      <c r="Y26" s="8">
        <v>0</v>
      </c>
      <c r="Z26" s="8">
        <v>0</v>
      </c>
    </row>
    <row r="27" spans="1:26" ht="89.25" x14ac:dyDescent="0.2">
      <c r="A27" s="57">
        <v>19</v>
      </c>
      <c r="B27" s="99" t="s">
        <v>221</v>
      </c>
      <c r="C27" s="71">
        <v>116</v>
      </c>
      <c r="D27" s="71">
        <v>4</v>
      </c>
      <c r="E27" s="71">
        <v>0.3</v>
      </c>
      <c r="F27" s="71">
        <v>120</v>
      </c>
      <c r="G27" s="71">
        <v>4.0999999999999996</v>
      </c>
      <c r="H27" s="124">
        <v>0.28697149416491297</v>
      </c>
      <c r="I27" s="125">
        <v>126</v>
      </c>
      <c r="J27" s="76">
        <v>4.4000000000000004</v>
      </c>
      <c r="K27" s="78">
        <v>5.9659090909090908</v>
      </c>
      <c r="L27" s="82">
        <v>2</v>
      </c>
      <c r="M27" s="94">
        <v>0.1</v>
      </c>
      <c r="N27" s="78">
        <v>9.4696969696969696E-2</v>
      </c>
      <c r="O27" s="75">
        <f t="shared" si="12"/>
        <v>69</v>
      </c>
      <c r="P27" s="75">
        <f t="shared" si="13"/>
        <v>8.1</v>
      </c>
      <c r="Q27" s="78">
        <f t="shared" si="14"/>
        <v>0.41706963249516443</v>
      </c>
      <c r="R27" s="124">
        <f t="shared" si="15"/>
        <v>80.999999999999986</v>
      </c>
      <c r="S27" s="124">
        <f>SUM(D27,G27,J27,M27,P27)/5</f>
        <v>4.1399999999999997</v>
      </c>
      <c r="T27" s="140">
        <f t="shared" si="16"/>
        <v>95.65217391304347</v>
      </c>
      <c r="U27" s="95">
        <v>44</v>
      </c>
      <c r="V27" s="95">
        <v>3</v>
      </c>
      <c r="W27" s="8">
        <v>13</v>
      </c>
      <c r="X27" s="8">
        <v>0</v>
      </c>
      <c r="Y27" s="8">
        <v>12</v>
      </c>
      <c r="Z27" s="8">
        <v>0</v>
      </c>
    </row>
    <row r="28" spans="1:26" x14ac:dyDescent="0.2">
      <c r="B28" s="8" t="s">
        <v>251</v>
      </c>
    </row>
  </sheetData>
  <mergeCells count="21">
    <mergeCell ref="T3:T4"/>
    <mergeCell ref="T19:T20"/>
    <mergeCell ref="O3:Q3"/>
    <mergeCell ref="S3:S4"/>
    <mergeCell ref="A3:A4"/>
    <mergeCell ref="B3:B4"/>
    <mergeCell ref="C3:E3"/>
    <mergeCell ref="I3:K3"/>
    <mergeCell ref="F3:H3"/>
    <mergeCell ref="R3:R4"/>
    <mergeCell ref="L3:N3"/>
    <mergeCell ref="A19:A20"/>
    <mergeCell ref="B19:B20"/>
    <mergeCell ref="C19:E19"/>
    <mergeCell ref="F19:H19"/>
    <mergeCell ref="I19:K19"/>
    <mergeCell ref="L19:N19"/>
    <mergeCell ref="O19:Q19"/>
    <mergeCell ref="R19:R20"/>
    <mergeCell ref="S19:S20"/>
    <mergeCell ref="M18:S18"/>
  </mergeCells>
  <pageMargins left="0.98425196850393704" right="0.98425196850393704" top="0.98425196850393704" bottom="0.98425196850393704" header="0.51181102362204722" footer="0.51181102362204722"/>
  <pageSetup paperSize="9" scale="84" fitToHeight="0" orientation="landscape" r:id="rId1"/>
  <rowBreaks count="1" manualBreakCount="1">
    <brk id="1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15</vt:i4>
      </vt:variant>
    </vt:vector>
  </HeadingPairs>
  <TitlesOfParts>
    <vt:vector size="42" baseType="lpstr">
      <vt:lpstr>Табл.2.1.1.Волчанск</vt:lpstr>
      <vt:lpstr>Табл.2.1.2.</vt:lpstr>
      <vt:lpstr>Лист2.1.3.</vt:lpstr>
      <vt:lpstr>Лист2.1.4.</vt:lpstr>
      <vt:lpstr>Лист2.1.5.</vt:lpstr>
      <vt:lpstr>Лист2.1.6.</vt:lpstr>
      <vt:lpstr>Лист2.1.7.</vt:lpstr>
      <vt:lpstr>Лист 2.1.8.</vt:lpstr>
      <vt:lpstr>Лист 2.2.1.</vt:lpstr>
      <vt:lpstr>Лист2.2.2.</vt:lpstr>
      <vt:lpstr>Лист2.3.1.</vt:lpstr>
      <vt:lpstr>Лист2.3.2.</vt:lpstr>
      <vt:lpstr>Лист2.3.5.</vt:lpstr>
      <vt:lpstr>Лист2.4.12.</vt:lpstr>
      <vt:lpstr>Лист2.5.1.</vt:lpstr>
      <vt:lpstr>Лист2.7.1.</vt:lpstr>
      <vt:lpstr>Лист2.7.3.</vt:lpstr>
      <vt:lpstr>Лист2.7.4.</vt:lpstr>
      <vt:lpstr>Лист2.7.5.</vt:lpstr>
      <vt:lpstr>Лист2.8.1.</vt:lpstr>
      <vt:lpstr>Лист2.8.2.</vt:lpstr>
      <vt:lpstr>Лист2.8.3.</vt:lpstr>
      <vt:lpstr>Лист2.9.1.</vt:lpstr>
      <vt:lpstr>Лист2.9.2.</vt:lpstr>
      <vt:lpstr>Лист2.9.3.</vt:lpstr>
      <vt:lpstr>Лист2.9.4.</vt:lpstr>
      <vt:lpstr>Лист2.11.1.</vt:lpstr>
      <vt:lpstr>'Лист 2.2.1.'!Область_печати</vt:lpstr>
      <vt:lpstr>Лист2.1.4.!Область_печати</vt:lpstr>
      <vt:lpstr>Лист2.1.6.!Область_печати</vt:lpstr>
      <vt:lpstr>Лист2.11.1.!Область_печати</vt:lpstr>
      <vt:lpstr>Лист2.2.2.!Область_печати</vt:lpstr>
      <vt:lpstr>Лист2.3.2.!Область_печати</vt:lpstr>
      <vt:lpstr>Лист2.3.5.!Область_печати</vt:lpstr>
      <vt:lpstr>Лист2.4.12.!Область_печати</vt:lpstr>
      <vt:lpstr>Лист2.5.1.!Область_печати</vt:lpstr>
      <vt:lpstr>Лист2.7.3.!Область_печати</vt:lpstr>
      <vt:lpstr>Лист2.8.1.!Область_печати</vt:lpstr>
      <vt:lpstr>Лист2.8.2.!Область_печати</vt:lpstr>
      <vt:lpstr>Лист2.9.2.!Область_печати</vt:lpstr>
      <vt:lpstr>Лист2.9.3.!Область_печати</vt:lpstr>
      <vt:lpstr>Лист2.9.4.!Область_печати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Хлызов АВ</dc:creator>
  <cp:lastModifiedBy>Хлызов Андрей Владимирович</cp:lastModifiedBy>
  <cp:lastPrinted>2023-02-20T11:43:59Z</cp:lastPrinted>
  <dcterms:created xsi:type="dcterms:W3CDTF">2016-02-17T09:12:51Z</dcterms:created>
  <dcterms:modified xsi:type="dcterms:W3CDTF">2023-02-27T10:49:42Z</dcterms:modified>
</cp:coreProperties>
</file>